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罹患者関係_入力例" sheetId="1" r:id="rId4"/>
    <sheet state="visible" name="罹患者関係" sheetId="2" r:id="rId5"/>
  </sheets>
  <definedNames>
    <definedName hidden="1" localSheetId="1" name="Z_36B49CBD_0EA8_4B5C_A3DB_9044395D427E_.wvu.FilterData">'罹患者関係'!$F$1114:$F$1118</definedName>
  </definedNames>
  <calcPr/>
  <customWorkbookViews>
    <customWorkbookView activeSheetId="0" maximized="1" tabRatio="600" windowHeight="0" windowWidth="0" guid="{36B49CBD-0EA8-4B5C-A3DB-9044395D427E}" name="フィルタ 1"/>
  </customWorkbookViews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G38">
      <text>
        <t xml:space="preserve">情報源が複数ある場合は、;（セミコロン）で区切って記載願います。
例）
URL1; URL2; URL3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G1">
      <text>
        <t xml:space="preserve">情報源が複数ある場合は、;（セミコロン）で区切って記載願います。
例）
URL1; URL2; URL3</t>
      </text>
    </comment>
  </commentList>
</comments>
</file>

<file path=xl/sharedStrings.xml><?xml version="1.0" encoding="utf-8"?>
<sst xmlns="http://schemas.openxmlformats.org/spreadsheetml/2006/main" count="8827" uniqueCount="2471">
  <si>
    <t>都道府県症例番号1</t>
  </si>
  <si>
    <t>都道府県症例番号2</t>
  </si>
  <si>
    <t>入力例更新：2020/04/09</t>
  </si>
  <si>
    <t>接触日</t>
  </si>
  <si>
    <t>関係性</t>
  </si>
  <si>
    <t>都道府県</t>
  </si>
  <si>
    <t>場所</t>
  </si>
  <si>
    <t>情報源</t>
  </si>
  <si>
    <t>no1-1</t>
  </si>
  <si>
    <t>no1-2</t>
  </si>
  <si>
    <t>no2-1</t>
  </si>
  <si>
    <t>地方自治体から公表されている罹患者情報、および各種メティアによる報道内容などを参照して、</t>
  </si>
  <si>
    <t>no2-2</t>
  </si>
  <si>
    <t>39-20</t>
  </si>
  <si>
    <t>39-34</t>
  </si>
  <si>
    <t>罹患者同士の接触関係を記入してください。</t>
  </si>
  <si>
    <t>症例番号が小さい罹患者を「都道府県症例番号1」、症例番号が大きい罹患者を「都道府県症例番号2」というように単方向で記載してください。</t>
  </si>
  <si>
    <t>※基本的に単方向のみで罹患者関係を記載していただく想定ですが、双方向にレコードを記載していただいても問題ありません。</t>
  </si>
  <si>
    <t>客</t>
  </si>
  <si>
    <t>※都道府県をまたがる関係性の場合は、カラムの順番は問いません。</t>
  </si>
  <si>
    <t>高知県</t>
  </si>
  <si>
    <t>ちょっとBAR ZIP!</t>
  </si>
  <si>
    <t>https://www.kochinews.co.jp/article/360043/</t>
  </si>
  <si>
    <t>３名以上の接触関係がある場合も、その接触関係内において、最も症例番号が小さい罹患者を「都道府県症例番号1」に</t>
  </si>
  <si>
    <t>その他の罹患者を「都道府県症例番号2」に記載してください。</t>
  </si>
  <si>
    <t>以下は、報道資料などを元に接触者関係等を確認し、罹患者関係として入力した例です。</t>
  </si>
  <si>
    <t>図は、東海テレビ.  "新型コロナウイルス 東海地方のニュース". を元に【罹患者シート】を参考に症例番号を追記したものです。</t>
  </si>
  <si>
    <t>https://www.tokai-tv.com/newsone/covid-19/newsList.php</t>
  </si>
  <si>
    <t>39-23</t>
  </si>
  <si>
    <t>39-37</t>
  </si>
  <si>
    <t>同僚</t>
  </si>
  <si>
    <t>介護施設 (宿毛市)</t>
  </si>
  <si>
    <t>39-24</t>
  </si>
  <si>
    <t>39-26</t>
  </si>
  <si>
    <t>39-54</t>
  </si>
  <si>
    <t>来訪者</t>
  </si>
  <si>
    <t>NA</t>
  </si>
  <si>
    <t>https://www.pref.kochi.lg.jp/soshiki/130401/files/2020022900049/0410.pdf</t>
  </si>
  <si>
    <t>39-48</t>
  </si>
  <si>
    <t>母</t>
  </si>
  <si>
    <t>罹患者関係への入力例</t>
  </si>
  <si>
    <t>https://www.pref.kochi.lg.jp/soshiki/130401/files/2020022900049/file_2020494162240_1.pdf; https://www.kochinews.co.jp/article/360043/</t>
  </si>
  <si>
    <t>23-3</t>
  </si>
  <si>
    <t>23-4</t>
  </si>
  <si>
    <t>夫婦</t>
  </si>
  <si>
    <t>愛知県</t>
  </si>
  <si>
    <t>39-49</t>
  </si>
  <si>
    <t>祖母</t>
  </si>
  <si>
    <t>39-51</t>
  </si>
  <si>
    <t>https://www.pref.kochi.lg.jp/soshiki/130401/files/2020022900049/0410.pdf; https://www.kochinews.co.jp/article/360043/</t>
  </si>
  <si>
    <t>23-5</t>
  </si>
  <si>
    <t>39-53</t>
  </si>
  <si>
    <t>知人</t>
  </si>
  <si>
    <t>39-39</t>
  </si>
  <si>
    <t>39-44</t>
  </si>
  <si>
    <t>高知市</t>
  </si>
  <si>
    <t>https://www.pref.kochi.lg.jp/soshiki/130401/files/2020022900049/file_2020494145844_1.pdf</t>
  </si>
  <si>
    <t>23-6</t>
  </si>
  <si>
    <t>39-45</t>
  </si>
  <si>
    <t>自宅</t>
  </si>
  <si>
    <t>39-41</t>
  </si>
  <si>
    <t>39-52</t>
  </si>
  <si>
    <t>id39-41の自宅</t>
  </si>
  <si>
    <t>23-7</t>
  </si>
  <si>
    <t>44-35</t>
  </si>
  <si>
    <t>44-36</t>
  </si>
  <si>
    <t>大分県</t>
  </si>
  <si>
    <t>http://www.pref.oita.jp/uploaded/attachment/2077629.pdf</t>
  </si>
  <si>
    <t>23-8</t>
  </si>
  <si>
    <t>熱田区のスポーツクラブA</t>
  </si>
  <si>
    <t>44-37</t>
  </si>
  <si>
    <t>23-15</t>
  </si>
  <si>
    <t>港区のスポーツクラブB</t>
  </si>
  <si>
    <t>23-23</t>
  </si>
  <si>
    <t>44-38</t>
  </si>
  <si>
    <t>23-24</t>
  </si>
  <si>
    <t>23-26</t>
  </si>
  <si>
    <t>44-39</t>
  </si>
  <si>
    <t>23-28</t>
  </si>
  <si>
    <t>23-97</t>
  </si>
  <si>
    <t>44-40</t>
  </si>
  <si>
    <t>44-41</t>
  </si>
  <si>
    <t>23-52</t>
  </si>
  <si>
    <t>熱田区のスポーツクラブC</t>
  </si>
  <si>
    <t>23-10</t>
  </si>
  <si>
    <t>45-12</t>
  </si>
  <si>
    <t>45-13</t>
  </si>
  <si>
    <t>宮崎県</t>
  </si>
  <si>
    <t>https://www.pref.miyazaki.lg.jp/kohosenryaku/kenko/hoken/covid19_20200408.html</t>
  </si>
  <si>
    <t>23-12</t>
  </si>
  <si>
    <t>23-13</t>
  </si>
  <si>
    <t>45-14</t>
  </si>
  <si>
    <t>23-16</t>
  </si>
  <si>
    <t>23-17</t>
  </si>
  <si>
    <t>45-15</t>
  </si>
  <si>
    <t>23-18</t>
  </si>
  <si>
    <t>45-16</t>
  </si>
  <si>
    <t>23-51</t>
  </si>
  <si>
    <t>23-19</t>
  </si>
  <si>
    <t>23-9</t>
  </si>
  <si>
    <t>47-13</t>
  </si>
  <si>
    <t>47-33</t>
  </si>
  <si>
    <t>沖縄県</t>
  </si>
  <si>
    <t>https://www.pref.okinawa.jp/site/hoken/chiikihoken/kekkaku/press/documents/20200407_covid19_13.pdf</t>
  </si>
  <si>
    <t>23-25</t>
  </si>
  <si>
    <t>23-58</t>
  </si>
  <si>
    <t>47-34</t>
  </si>
  <si>
    <t>23-11</t>
  </si>
  <si>
    <t>23-14</t>
  </si>
  <si>
    <t>47-14</t>
  </si>
  <si>
    <t>47-29</t>
  </si>
  <si>
    <t>23-20</t>
  </si>
  <si>
    <t>23-21</t>
  </si>
  <si>
    <t>23-22</t>
  </si>
  <si>
    <t>1-3</t>
  </si>
  <si>
    <t>1-5</t>
  </si>
  <si>
    <t>23-27</t>
  </si>
  <si>
    <t>北海道</t>
  </si>
  <si>
    <t>さっぽろ雪まつり</t>
  </si>
  <si>
    <t>23-44</t>
  </si>
  <si>
    <t>http://www.pref.hokkaido.lg.jp/hf/kth/kak/hasseijoukyou.htm#2/20</t>
  </si>
  <si>
    <t>23-33</t>
  </si>
  <si>
    <t>施設</t>
  </si>
  <si>
    <t>23-34</t>
  </si>
  <si>
    <t>23-42</t>
  </si>
  <si>
    <t>息子</t>
  </si>
  <si>
    <t>23-43</t>
  </si>
  <si>
    <t>孫</t>
  </si>
  <si>
    <t>23-63</t>
  </si>
  <si>
    <t>23-103</t>
  </si>
  <si>
    <t>23-104</t>
  </si>
  <si>
    <t>23-105</t>
  </si>
  <si>
    <t>飲食店</t>
  </si>
  <si>
    <t>23-29</t>
  </si>
  <si>
    <t>23-30</t>
  </si>
  <si>
    <t>23-31</t>
  </si>
  <si>
    <t>23-45</t>
  </si>
  <si>
    <t>作業所</t>
  </si>
  <si>
    <t>23-53</t>
  </si>
  <si>
    <t>23-37</t>
  </si>
  <si>
    <t>緑区のデイサービス施設A</t>
  </si>
  <si>
    <t>23-38</t>
  </si>
  <si>
    <t>23-39</t>
  </si>
  <si>
    <t>23-47</t>
  </si>
  <si>
    <t>1-4</t>
  </si>
  <si>
    <t>1-12</t>
  </si>
  <si>
    <t>23-46</t>
  </si>
  <si>
    <t>http://www.pref.hokkaido.lg.jp/hf/kth/kak/kisyakaiken0222kisya.pdf</t>
  </si>
  <si>
    <t>23-133</t>
  </si>
  <si>
    <t>娘</t>
  </si>
  <si>
    <t>1-6</t>
  </si>
  <si>
    <t>1-7</t>
  </si>
  <si>
    <t>http://www.pref.hokkaido.lg.jp/hf/kth/kak/hasseijoukyou.htm#no7</t>
  </si>
  <si>
    <t>23-86</t>
  </si>
  <si>
    <t>1-9</t>
  </si>
  <si>
    <t>1-24</t>
  </si>
  <si>
    <t>23-59</t>
  </si>
  <si>
    <t>http://www.pref.hokkaido.lg.jp/hf/kth/kak/singatakoronahaienkannjya19-26rere.pdf</t>
  </si>
  <si>
    <t>23-49</t>
  </si>
  <si>
    <t>緑区のデイサービス施設C</t>
  </si>
  <si>
    <t>1-10</t>
  </si>
  <si>
    <t>1-54</t>
  </si>
  <si>
    <t>http://www.pref.hokkaido.lg.jp/hf/kth/kak/singatakoronahaienkannjya42-54re.pdf</t>
  </si>
  <si>
    <t>1-11</t>
  </si>
  <si>
    <t>1-20</t>
  </si>
  <si>
    <t>同居家族</t>
  </si>
  <si>
    <t>23-48</t>
  </si>
  <si>
    <t>http://www.pref.hokkaido.lg.jp/hf/kth/kak/singatakoronahaienkannjya19-20.pdf</t>
  </si>
  <si>
    <t>23-54</t>
  </si>
  <si>
    <t>1-15</t>
  </si>
  <si>
    <t>1-25</t>
  </si>
  <si>
    <t>23-55</t>
  </si>
  <si>
    <t>23-56</t>
  </si>
  <si>
    <t>1-17</t>
  </si>
  <si>
    <t>1-29</t>
  </si>
  <si>
    <t>http://www.pref.hokkaido.lg.jp/hf/kth/kak/singatakoronahaienkannjya29-30new.pdf</t>
  </si>
  <si>
    <t>23-60</t>
  </si>
  <si>
    <t>1-43</t>
  </si>
  <si>
    <t>23-62</t>
  </si>
  <si>
    <t>北見総合卸センター</t>
  </si>
  <si>
    <t>23-61</t>
  </si>
  <si>
    <t>1-18</t>
  </si>
  <si>
    <t>1-27</t>
  </si>
  <si>
    <t>http://www.pref.hokkaido.lg.jp/hf/kth/kak/singatakoronahaienkannjya27-28rere.pdf</t>
  </si>
  <si>
    <t>23-66</t>
  </si>
  <si>
    <t>23-107</t>
  </si>
  <si>
    <t>1-21</t>
  </si>
  <si>
    <t>1-32</t>
  </si>
  <si>
    <t>http://www.pref.hokkaido.lg.jp/hf/kth/kak/kisyakaiken0225siryou.pdf</t>
  </si>
  <si>
    <t>23-65</t>
  </si>
  <si>
    <t>1-31</t>
  </si>
  <si>
    <t>23-73</t>
  </si>
  <si>
    <t>http://www.pref.hokkaido.lg.jp/hf/kth/kak/singatakoronahaienkaigisiryou0225.pdf</t>
  </si>
  <si>
    <t>23-74</t>
  </si>
  <si>
    <t>23-75</t>
  </si>
  <si>
    <t>1-28</t>
  </si>
  <si>
    <t>1-40</t>
  </si>
  <si>
    <t>http://www.pref.hokkaido.lg.jp/hf/kth/kak/kisyakaiken0227siryou2.pdf</t>
  </si>
  <si>
    <t>23-82</t>
  </si>
  <si>
    <t>23-93</t>
  </si>
  <si>
    <t>1-41</t>
  </si>
  <si>
    <t>23-129</t>
  </si>
  <si>
    <t>旭ろうさい病院</t>
  </si>
  <si>
    <t>1-72</t>
  </si>
  <si>
    <t>http://www.pref.hokkaido.lg.jp/hf/kth/kak/singatakoronahaienkannjya71-72re.pdf</t>
  </si>
  <si>
    <t>23-117</t>
  </si>
  <si>
    <t>2-1</t>
  </si>
  <si>
    <t>2-2</t>
  </si>
  <si>
    <t>青森県</t>
  </si>
  <si>
    <t>https://www.pref.aomori.lg.jp/soshiki/kenko/hoken/files/200323press.pdf</t>
  </si>
  <si>
    <t>23-115</t>
  </si>
  <si>
    <t>2-3</t>
  </si>
  <si>
    <t>ツアー客</t>
  </si>
  <si>
    <t>23-116</t>
  </si>
  <si>
    <t>スペイン旅行ツアー</t>
  </si>
  <si>
    <t>https://www.pref.aomori.lg.jp/soshiki/kenko/hoken/files/200325press.pdf</t>
  </si>
  <si>
    <t>23-71</t>
  </si>
  <si>
    <t>2-4</t>
  </si>
  <si>
    <t>23-136</t>
  </si>
  <si>
    <t>2-5</t>
  </si>
  <si>
    <t>23-76</t>
  </si>
  <si>
    <t>2-6</t>
  </si>
  <si>
    <t>23-108</t>
  </si>
  <si>
    <t>2-11</t>
  </si>
  <si>
    <t>感染者（秋田県大館保健所管内）</t>
  </si>
  <si>
    <t>23-157</t>
  </si>
  <si>
    <t>弘前市内で会食</t>
  </si>
  <si>
    <t>https://www.pref.aomori.lg.jp/soshiki/kenko/hoken/files/200403press.pdf</t>
  </si>
  <si>
    <t>23-137</t>
  </si>
  <si>
    <t>4-5</t>
  </si>
  <si>
    <t>4-8</t>
  </si>
  <si>
    <t>23-85</t>
  </si>
  <si>
    <t>福祉施設</t>
  </si>
  <si>
    <t>宮城県</t>
  </si>
  <si>
    <t>飲食店（HUB仙台一番町四丁目店）</t>
  </si>
  <si>
    <t>http://www.city.sendai.jp/sesakukoho/gaiyo/shichoshitsu/kaiken/2020/04/01corona2.html</t>
  </si>
  <si>
    <t>4-14</t>
  </si>
  <si>
    <t>23-102</t>
  </si>
  <si>
    <t>https://www.city.sendai.jp/sesakukoho/gaiyo/shichoshitsu/kaiken/2020/04/03corona2.html</t>
  </si>
  <si>
    <t>23-110</t>
  </si>
  <si>
    <t>5-3</t>
  </si>
  <si>
    <t>23-92</t>
  </si>
  <si>
    <t>http://www.city.sendai.jp/kenkoanzen-kansen/shise/koho/kisha/r2/0330corona.html</t>
  </si>
  <si>
    <t>23-118</t>
  </si>
  <si>
    <t>6-13</t>
  </si>
  <si>
    <t>23-91</t>
  </si>
  <si>
    <t>https://www.pref.yamagata.jp/ou/bosai/020072/kochibou/coronavirus/pdf/11-13reime.pdf</t>
  </si>
  <si>
    <t>23-67</t>
  </si>
  <si>
    <t>4-9</t>
  </si>
  <si>
    <t>23-77</t>
  </si>
  <si>
    <t>4-10</t>
  </si>
  <si>
    <t>23-83</t>
  </si>
  <si>
    <t>4-15</t>
  </si>
  <si>
    <t>4-16</t>
  </si>
  <si>
    <t>23-95</t>
  </si>
  <si>
    <t>知り合い（引っ越しを手伝った）</t>
  </si>
  <si>
    <t>https://www3.nhk.or.jp/news/html/20200403/k10012367731000.html</t>
  </si>
  <si>
    <t>23-100</t>
  </si>
  <si>
    <t>4-17</t>
  </si>
  <si>
    <t>知り合い</t>
  </si>
  <si>
    <t>23-101</t>
  </si>
  <si>
    <t>4-18</t>
  </si>
  <si>
    <t>23-123</t>
  </si>
  <si>
    <t>5-4</t>
  </si>
  <si>
    <t>秋田県</t>
  </si>
  <si>
    <t>23-96</t>
  </si>
  <si>
    <t>https://www.pref.akita.lg.jp/uploads/public/archive_0000047957_00/R02.03.27%E3%80%80%E5%A0%B1%E9%81%93%E7%99%BA%E8%A1%A8%E8%B3%87%E6%96%99%EF%BC%883%E3%80%814%E4%BB%B6%E7%9B%AE%EF%BC%89.pdf;https://www.pref.akita.lg.jp/uploads/public/archive_0000047957_00/R02.03.28%E3%80%80%E5%A0%B1%E9%81%93%E7%99%BA%E8%A1%A8%E8%B3%87%E6%96%99%EF%BC%883%E3%80%814%E4%BE%8B%E7%9B%AE%EF%BC%9A%E8%BF%BD%E5%8A%A0%EF%BC%89.pdf</t>
  </si>
  <si>
    <t>23-68</t>
  </si>
  <si>
    <t>23-72</t>
  </si>
  <si>
    <t>23-156</t>
  </si>
  <si>
    <t>23-78</t>
  </si>
  <si>
    <t>6-18</t>
  </si>
  <si>
    <t>23-113</t>
  </si>
  <si>
    <t>会食</t>
  </si>
  <si>
    <t>山形県</t>
  </si>
  <si>
    <t>https://www.pref.yamagata.jp/ou/bosai/020072/kochibou/coronavirus/pdf/14-19reime.pdf</t>
  </si>
  <si>
    <t>23-120</t>
  </si>
  <si>
    <t>緑区の別施設</t>
  </si>
  <si>
    <t>7-2</t>
  </si>
  <si>
    <t>23-69</t>
  </si>
  <si>
    <t>11-13</t>
  </si>
  <si>
    <t>南区のデイサービス施設D</t>
  </si>
  <si>
    <t>ナイル川ツアー同行</t>
  </si>
  <si>
    <t>エジプト</t>
  </si>
  <si>
    <t>https://www.pref.fukushima.lg.jp/uploaded/attachment/375483.pdf</t>
  </si>
  <si>
    <t>23-79</t>
  </si>
  <si>
    <t>7-6</t>
  </si>
  <si>
    <t>7-7</t>
  </si>
  <si>
    <t>福島県</t>
  </si>
  <si>
    <t>福島県（相双保健所管内）</t>
  </si>
  <si>
    <t>https://www.pref.fukushima.lg.jp/uploaded/attachment/379855.pdf</t>
  </si>
  <si>
    <t>7-9</t>
  </si>
  <si>
    <t>23-84</t>
  </si>
  <si>
    <t>https://www.pref.fukushima.lg.jp/uploaded/attachment/379854.pdf</t>
  </si>
  <si>
    <t>8-9</t>
  </si>
  <si>
    <t>8-11</t>
  </si>
  <si>
    <t>講師と生徒</t>
  </si>
  <si>
    <t>23-90</t>
  </si>
  <si>
    <t>茨城県</t>
  </si>
  <si>
    <t>社交ダンス教室</t>
  </si>
  <si>
    <t>https://www.pref.ibaraki.jp/1saigai/2019-ncov/documents/032711.pdf</t>
  </si>
  <si>
    <t>8-12</t>
  </si>
  <si>
    <t>8-13</t>
  </si>
  <si>
    <t>入院先の同室者</t>
  </si>
  <si>
    <t>ＪＡとりで総合医療センター</t>
  </si>
  <si>
    <t>https://www.pref.ibaraki.jp/1saigai/2019-ncov/documents/20032801.pdf</t>
  </si>
  <si>
    <t>23-94</t>
  </si>
  <si>
    <t>8-14</t>
  </si>
  <si>
    <t>家族</t>
  </si>
  <si>
    <t>23-98</t>
  </si>
  <si>
    <t>つくばみらい市</t>
  </si>
  <si>
    <t>https://www.pref.ibaraki.jp/1saigai/2019-ncov/documents/2003281415.pdf</t>
  </si>
  <si>
    <t>23-114</t>
  </si>
  <si>
    <t>8-15</t>
  </si>
  <si>
    <t>23-109</t>
  </si>
  <si>
    <t>23-138</t>
  </si>
  <si>
    <t>南区の別施設1</t>
  </si>
  <si>
    <t>8-18</t>
  </si>
  <si>
    <t>入院先の同一病棟</t>
  </si>
  <si>
    <t>https://www.pref.ibaraki.jp/1saigai/2019-ncov/documents/03302.pdf</t>
  </si>
  <si>
    <t>23-135</t>
  </si>
  <si>
    <t>南区の別施設2</t>
  </si>
  <si>
    <t>8-19</t>
  </si>
  <si>
    <t>8-20</t>
  </si>
  <si>
    <t>23-119</t>
  </si>
  <si>
    <t>8-16</t>
  </si>
  <si>
    <t>8-17</t>
  </si>
  <si>
    <t>勤務する施設の入所者</t>
  </si>
  <si>
    <t>アレーテル・つくば</t>
  </si>
  <si>
    <t>23-125</t>
  </si>
  <si>
    <t>https://www.pref.ibaraki.jp/1saigai/2019-ncov/documents/20033102.pdf</t>
  </si>
  <si>
    <t>23-36</t>
  </si>
  <si>
    <t>23-112</t>
  </si>
  <si>
    <t>23-146</t>
  </si>
  <si>
    <t>23-149</t>
  </si>
  <si>
    <t>同じ職場勤務</t>
  </si>
  <si>
    <t>23-147</t>
  </si>
  <si>
    <t>23-81</t>
  </si>
  <si>
    <t>23-88</t>
  </si>
  <si>
    <t>8-33</t>
  </si>
  <si>
    <t>23-89</t>
  </si>
  <si>
    <t>8-34</t>
  </si>
  <si>
    <t>23-162</t>
  </si>
  <si>
    <t>23-166</t>
  </si>
  <si>
    <t>8-35</t>
  </si>
  <si>
    <t>23-165</t>
  </si>
  <si>
    <t>23-169</t>
  </si>
  <si>
    <t>8-36</t>
  </si>
  <si>
    <t>23-171</t>
  </si>
  <si>
    <t>23-172</t>
  </si>
  <si>
    <t>23-122</t>
  </si>
  <si>
    <t>23-126</t>
  </si>
  <si>
    <t>9-2</t>
  </si>
  <si>
    <t>20-2</t>
  </si>
  <si>
    <t>栃木県</t>
  </si>
  <si>
    <t>Soap opera classics-Umeda</t>
  </si>
  <si>
    <t>http://www.pref.tochigi.lg.jp/e04/welfare/hoken-eisei/kansen/hp/documents/2reime.pdf</t>
  </si>
  <si>
    <t>23-127</t>
  </si>
  <si>
    <t>9-6</t>
  </si>
  <si>
    <t>9-7</t>
  </si>
  <si>
    <t>妻</t>
  </si>
  <si>
    <t>栃木県安足健康福祉センター管内</t>
  </si>
  <si>
    <t>http://www.pref.tochigi.lg.jp/e04/welfare/hoken-eisei/kansen/hp/documents/200331hasseijyoukyou.pdf</t>
  </si>
  <si>
    <t>23-140</t>
  </si>
  <si>
    <t>23-141</t>
  </si>
  <si>
    <t>9-8</t>
  </si>
  <si>
    <t>23-155</t>
  </si>
  <si>
    <t>23-163</t>
  </si>
  <si>
    <t>9-9</t>
  </si>
  <si>
    <t>栃木県県西健康福祉センター</t>
  </si>
  <si>
    <t>23-170</t>
  </si>
  <si>
    <t>9-10</t>
  </si>
  <si>
    <t>9-11</t>
  </si>
  <si>
    <t>子供</t>
  </si>
  <si>
    <t>栃木県県南健康福祉センター管内</t>
  </si>
  <si>
    <t>http://www.pref.tochigi.lg.jp/e04/welfare/hoken-eisei/kansen/hp/documents/11reime.pdf</t>
  </si>
  <si>
    <t>県外の陽性確定者（3/24 判明）</t>
  </si>
  <si>
    <t>23-174</t>
  </si>
  <si>
    <t>http://www.pref.tochigi.lg.jp/e04/welfare/hoken-eisei/kansen/hp/documents/10reime.pdf</t>
  </si>
  <si>
    <t>23-111</t>
  </si>
  <si>
    <t>9-12</t>
  </si>
  <si>
    <t>38-5</t>
  </si>
  <si>
    <t>23-121</t>
  </si>
  <si>
    <t>中部ろうさい病院</t>
  </si>
  <si>
    <t>同じ葬儀に参加</t>
  </si>
  <si>
    <t>愛媛県</t>
  </si>
  <si>
    <t>松山市</t>
  </si>
  <si>
    <t>https://www.pref.ehime.jp/h25500/kansen/documents/0331press.pdf</t>
  </si>
  <si>
    <t>23-124</t>
  </si>
  <si>
    <t>23-130</t>
  </si>
  <si>
    <t>大同病院</t>
  </si>
  <si>
    <t>38-6</t>
  </si>
  <si>
    <t>23-134</t>
  </si>
  <si>
    <t>23-148</t>
  </si>
  <si>
    <t>23-132</t>
  </si>
  <si>
    <t>23-142</t>
  </si>
  <si>
    <t>トヨタ自動車高岡工場</t>
  </si>
  <si>
    <t>38-7</t>
  </si>
  <si>
    <t>38-8</t>
  </si>
  <si>
    <t>10-1</t>
  </si>
  <si>
    <t>10-2</t>
  </si>
  <si>
    <t>保育士と従業員</t>
  </si>
  <si>
    <t>群馬県</t>
  </si>
  <si>
    <t>木崎あおぞら保育園（太田市）</t>
  </si>
  <si>
    <t>https://www.pref.gunma.jp/contents/100149662.pdf</t>
  </si>
  <si>
    <t>10-7</t>
  </si>
  <si>
    <t>10-3</t>
  </si>
  <si>
    <t>10-4</t>
  </si>
  <si>
    <t>看護師と医師</t>
  </si>
  <si>
    <t>ましも内科・胃腸科（大泉町）</t>
  </si>
  <si>
    <t>10-5</t>
  </si>
  <si>
    <t>10-6</t>
  </si>
  <si>
    <t>看護師と事務職員</t>
  </si>
  <si>
    <t>10-8</t>
  </si>
  <si>
    <t>看護師と運転手</t>
  </si>
  <si>
    <t>10-9</t>
  </si>
  <si>
    <t>10-10</t>
  </si>
  <si>
    <t>看護師と患者</t>
  </si>
  <si>
    <t>10-11</t>
  </si>
  <si>
    <t>10-12</t>
  </si>
  <si>
    <t>10-14</t>
  </si>
  <si>
    <t>医師と看護師</t>
  </si>
  <si>
    <t>公立館林厚生病院</t>
  </si>
  <si>
    <t>https://www.pref.gunma.jp/07/z87g_00027.html;https://www.jomo-news.co.jp/news/gunma/society/202295</t>
  </si>
  <si>
    <t>10-15</t>
  </si>
  <si>
    <t>https://www.pref.gunma.jp/07/z87g_00029.html</t>
  </si>
  <si>
    <t>10-17</t>
  </si>
  <si>
    <t>食事</t>
  </si>
  <si>
    <t>https://www.pref.gunma.jp/07/z87g_00032.html</t>
  </si>
  <si>
    <t>11-14</t>
  </si>
  <si>
    <t>https://www.pref.saitama.lg.jp/a0701/covid19/jokyo.html</t>
  </si>
  <si>
    <t>11-16</t>
  </si>
  <si>
    <t>11-19</t>
  </si>
  <si>
    <t>https://www.pref.saitama.lg.jp/a0001/news/page/2019/0312-06.html</t>
  </si>
  <si>
    <t>11-17</t>
  </si>
  <si>
    <t>12-17</t>
  </si>
  <si>
    <t>埼玉県</t>
  </si>
  <si>
    <t>https://www.city.saitama.jp/002/001/008/006/001/p070442.html</t>
  </si>
  <si>
    <t>11-18</t>
  </si>
  <si>
    <t>11-22</t>
  </si>
  <si>
    <t>11-35</t>
  </si>
  <si>
    <t>11-23</t>
  </si>
  <si>
    <t>さいたま市</t>
  </si>
  <si>
    <t>11-34</t>
  </si>
  <si>
    <t>12-15</t>
  </si>
  <si>
    <t>14-23</t>
  </si>
  <si>
    <t>別居の親族</t>
  </si>
  <si>
    <t>千葉県</t>
  </si>
  <si>
    <t>https://www.city.funabashi.lg.jp/kenkou/kansenshou/001/p076945.html</t>
  </si>
  <si>
    <t>12-16</t>
  </si>
  <si>
    <t>13-38</t>
  </si>
  <si>
    <t>フィットネスクラブ</t>
  </si>
  <si>
    <t>千葉県市川市のフィットネスクラブ</t>
  </si>
  <si>
    <t>https://www.pref.chiba.lg.jp/shippei/press/2019/ncov20200301.html</t>
  </si>
  <si>
    <t>12-18</t>
  </si>
  <si>
    <t>12-24</t>
  </si>
  <si>
    <t>勤務する福祉事業所を利用</t>
  </si>
  <si>
    <t>12-18が勤務する福祉事務所</t>
  </si>
  <si>
    <t>https://www.pref.chiba.lg.jp/shippei/press/2019/ncov20200310.html</t>
  </si>
  <si>
    <t>12-19</t>
  </si>
  <si>
    <t>12-20</t>
  </si>
  <si>
    <t>市川市</t>
  </si>
  <si>
    <t>https://www.pref.chiba.lg.jp/shippei/press/2019/ncov20200307.html</t>
  </si>
  <si>
    <t>12-21</t>
  </si>
  <si>
    <t>12-25</t>
  </si>
  <si>
    <t>12-26</t>
  </si>
  <si>
    <t>https://www.pref.chiba.lg.jp/shippei/press/2019/ncov-index.html</t>
  </si>
  <si>
    <t>12-27</t>
  </si>
  <si>
    <t>12-29</t>
  </si>
  <si>
    <t>松戸市</t>
  </si>
  <si>
    <t>https://www.pref.chiba.lg.jp/shippei/press/2019/ncov20200313.html</t>
  </si>
  <si>
    <t>12-30</t>
  </si>
  <si>
    <t>12-31</t>
  </si>
  <si>
    <t>匝瑳市</t>
  </si>
  <si>
    <t>https://www.pref.chiba.lg.jp/shippei/press/2019/ncov20200314.html</t>
  </si>
  <si>
    <t>12-32</t>
  </si>
  <si>
    <t>14-98</t>
  </si>
  <si>
    <t>1-107</t>
  </si>
  <si>
    <t>1-108</t>
  </si>
  <si>
    <t>http://www.pref.hokkaido.lg.jp/hf/kth/kak/kisyakaiken0309.pdf</t>
  </si>
  <si>
    <t>1-109</t>
  </si>
  <si>
    <t>1-125</t>
  </si>
  <si>
    <t>http://www.pref.hokkaido.lg.jp/hf/kth/kak/kisyakaiken0312sapporo.pdf</t>
  </si>
  <si>
    <t>1-130</t>
  </si>
  <si>
    <t>http://www.pref.hokkaido.lg.jp/hf/kth/kak/kisyakaiken0313sapporo.pdf</t>
  </si>
  <si>
    <t>1-110</t>
  </si>
  <si>
    <t>1-112</t>
  </si>
  <si>
    <t>http://www.pref.hokkaido.lg.jp/hf/kth/kak/kisyakaiken0311sapporo.pdf</t>
  </si>
  <si>
    <t>1-122</t>
  </si>
  <si>
    <t>1-111</t>
  </si>
  <si>
    <t>1-132</t>
  </si>
  <si>
    <t>1-119</t>
  </si>
  <si>
    <t>1-136</t>
  </si>
  <si>
    <t>ススキノにあるライブバー「シング・シング・シング」</t>
  </si>
  <si>
    <t>http://www.pref.hokkaido.lg.jp/hf/kth/kak/kisyakaiken0313re.pdf</t>
  </si>
  <si>
    <t>1-120</t>
  </si>
  <si>
    <t>1-121</t>
  </si>
  <si>
    <t>1-141</t>
  </si>
  <si>
    <t>http://www.pref.hokkaido.lg.jp/hf/kth/kak/singatakoronahaienkannjya138-142.pdf</t>
  </si>
  <si>
    <t>1-123</t>
  </si>
  <si>
    <t>1-133</t>
  </si>
  <si>
    <t>1-126</t>
  </si>
  <si>
    <t>1-138</t>
  </si>
  <si>
    <t>1-140</t>
  </si>
  <si>
    <t>1-151</t>
  </si>
  <si>
    <t>http://www.pref.hokkaido.lg.jp/hf/kth/kak/kisyakaiken0316sapporo.pdf</t>
  </si>
  <si>
    <t>1-128</t>
  </si>
  <si>
    <t>1-142</t>
  </si>
  <si>
    <t>1-135</t>
  </si>
  <si>
    <t>1-149</t>
  </si>
  <si>
    <t>http://www.pref.hokkaido.lg.jp/hf/kth/kak/kisyakaiken0316_3.pdf</t>
  </si>
  <si>
    <t>1-143</t>
  </si>
  <si>
    <t>1-152</t>
  </si>
  <si>
    <t>1-147</t>
  </si>
  <si>
    <t>1-148</t>
  </si>
  <si>
    <t>http://www.pref.hokkaido.lg.jp/hf/kth/kak/kisyakaiken0315re.pdf</t>
  </si>
  <si>
    <t>1-33</t>
  </si>
  <si>
    <t>1-42</t>
  </si>
  <si>
    <t>1-75</t>
  </si>
  <si>
    <t>http://www.pref.hokkaido.lg.jp/hf/kth/kak/kisyakaiken03022siryoud.pdf</t>
  </si>
  <si>
    <t>1-73</t>
  </si>
  <si>
    <t>業者として展示会に参加</t>
  </si>
  <si>
    <t>1-74</t>
  </si>
  <si>
    <t>1-46</t>
  </si>
  <si>
    <t>1-91</t>
  </si>
  <si>
    <t>http://www.pref.hokkaido.lg.jp/hf/kth/kak/kisyakaiken0307.pdf</t>
  </si>
  <si>
    <t>1-60</t>
  </si>
  <si>
    <t>1-92</t>
  </si>
  <si>
    <t>1-69</t>
  </si>
  <si>
    <t>1-106</t>
  </si>
  <si>
    <t>http://www.pref.hokkaido.lg.jp/hf/kth/kak/kisyakaiken0309sapporo.pdf</t>
  </si>
  <si>
    <t>1-77</t>
  </si>
  <si>
    <t>http://www.pref.hokkaido.lg.jp/hf/kth/kak/kisyakaiken0302siryoud.pdf</t>
  </si>
  <si>
    <t>1-70</t>
  </si>
  <si>
    <t>1-78</t>
  </si>
  <si>
    <t>店員</t>
  </si>
  <si>
    <t>http://www.pref.hokkaido.lg.jp/hf/kth/kak/singatakoronahaienkannjya78-79rere.pdf</t>
  </si>
  <si>
    <t>1-79</t>
  </si>
  <si>
    <t>店員と客</t>
  </si>
  <si>
    <t>http://www.pref.hokkaido.lg.jp/hf/kth/kak/singatakoronahaienkannjya109-111.pdf</t>
  </si>
  <si>
    <t>1-124</t>
  </si>
  <si>
    <t>親族</t>
  </si>
  <si>
    <t>http://www.pref.hokkaido.lg.jp/hf/kth/kak/singatakoronahaienkannjya109-111.pdf;https://www.nikkei.com/article/DGXMZO56623150Q0A310C2L41000/</t>
  </si>
  <si>
    <t>1-84</t>
  </si>
  <si>
    <t>札幌市</t>
  </si>
  <si>
    <t>http://www.pref.hokkaido.lg.jp/hf/kth/kak/kisyakaiken0306sapporo.pdf;https://www.hokkaido-np.co.jp/article/400255</t>
  </si>
  <si>
    <t>1-85</t>
  </si>
  <si>
    <t>1-97</t>
  </si>
  <si>
    <t>http://www.pref.hokkaido.lg.jp/hf/kth/kak/kisyakaiken0307sapporo.pdf</t>
  </si>
  <si>
    <t>1-98</t>
  </si>
  <si>
    <t>1-81</t>
  </si>
  <si>
    <t>1-118</t>
  </si>
  <si>
    <t>http://www.pref.hokkaido.lg.jp/hf/kth/kak/kisyakaiken0311asahikawa.pdf</t>
  </si>
  <si>
    <t>1-83</t>
  </si>
  <si>
    <t>1-115</t>
  </si>
  <si>
    <t>斗南病院</t>
  </si>
  <si>
    <t>http://www.pref.hokkaido.lg.jp/hf/kth/kak/kisyakaiken0311sapporo.pdf;https://www.asahi.com/articles/ASN3C72WDN3CIIPE01P.html</t>
  </si>
  <si>
    <t>1-144</t>
  </si>
  <si>
    <t>http://www.pref.hokkaido.lg.jp/hf/kth/kak/kisyakaiken0315_0314sapporo.pdf</t>
  </si>
  <si>
    <t>1-96</t>
  </si>
  <si>
    <t>1-87</t>
  </si>
  <si>
    <t>1-116</t>
  </si>
  <si>
    <t>http://www.pref.hokkaido.lg.jp/hf/kth/kak/kisyakaiken0311re.pdf</t>
  </si>
  <si>
    <t>1-134</t>
  </si>
  <si>
    <t>1-88</t>
  </si>
  <si>
    <t>1-95</t>
  </si>
  <si>
    <t>1-103</t>
  </si>
  <si>
    <t>1-104</t>
  </si>
  <si>
    <t>1-105</t>
  </si>
  <si>
    <t>会社同僚</t>
  </si>
  <si>
    <t>1-99</t>
  </si>
  <si>
    <t>1-100</t>
  </si>
  <si>
    <t>http://www.pref.hokkaido.lg.jp/hf/kth/kak/kisyakaiken0308.pdf</t>
  </si>
  <si>
    <t>11-102</t>
  </si>
  <si>
    <t>11-112</t>
  </si>
  <si>
    <t>鴻巣市</t>
  </si>
  <si>
    <t>http://www.pref.saitama.lg.jp/a0001/news/page/2020/0403-03.html</t>
  </si>
  <si>
    <t>11-107</t>
  </si>
  <si>
    <t>11-141</t>
  </si>
  <si>
    <t>https://www.pref.saitama.lg.jp/a0001/news/page/2020/0404-01.html</t>
  </si>
  <si>
    <t>11-115</t>
  </si>
  <si>
    <t>11-116</t>
  </si>
  <si>
    <t>https://www.city.saitama.jp/002/001/008/006/013/001/p070442.html</t>
  </si>
  <si>
    <t>11-117</t>
  </si>
  <si>
    <t>11-137</t>
  </si>
  <si>
    <t>11-119</t>
  </si>
  <si>
    <t>8-4</t>
  </si>
  <si>
    <t>病院</t>
  </si>
  <si>
    <t>東京都</t>
  </si>
  <si>
    <t>台東区 永寿総合病院</t>
  </si>
  <si>
    <t>https://www.city.koshigaya.saitama.jp/kurashi_shisei/fukushi/hokenjo/kansensho/kansen_hassei5.html</t>
  </si>
  <si>
    <t>11-124</t>
  </si>
  <si>
    <t>11-171</t>
  </si>
  <si>
    <t>春日部市</t>
  </si>
  <si>
    <t>https://www.pref.saitama.lg.jp/a0001/news/page/2020/0405-01.html</t>
  </si>
  <si>
    <t>11-172</t>
  </si>
  <si>
    <t>職場の同僚</t>
  </si>
  <si>
    <t>11-125</t>
  </si>
  <si>
    <t>11-126</t>
  </si>
  <si>
    <t>11-127</t>
  </si>
  <si>
    <t>八潮市</t>
  </si>
  <si>
    <t>仕事関連</t>
  </si>
  <si>
    <t>11-129</t>
  </si>
  <si>
    <t>11-179</t>
  </si>
  <si>
    <t>別居家族</t>
  </si>
  <si>
    <t>11-130</t>
  </si>
  <si>
    <t>11-173</t>
  </si>
  <si>
    <t>11-140</t>
  </si>
  <si>
    <t>同居人</t>
  </si>
  <si>
    <t>上尾市</t>
  </si>
  <si>
    <t>11-142</t>
  </si>
  <si>
    <t>11-143</t>
  </si>
  <si>
    <t>所沢市</t>
  </si>
  <si>
    <t>11-145</t>
  </si>
  <si>
    <t>11-151</t>
  </si>
  <si>
    <t>11-185</t>
  </si>
  <si>
    <t>坂戸市</t>
  </si>
  <si>
    <t>11-186</t>
  </si>
  <si>
    <t>11-163</t>
  </si>
  <si>
    <t>船橋市9例目の患者の濃厚接触者</t>
  </si>
  <si>
    <t>https://www.city.koshigaya.saitama.jp/kurashi_shisei/fukushi/hokenjo/kansensho/kansen_hassei6.html</t>
  </si>
  <si>
    <t>11-174</t>
  </si>
  <si>
    <t>秩父市</t>
  </si>
  <si>
    <t>11-175</t>
  </si>
  <si>
    <t>11-177</t>
  </si>
  <si>
    <t>11-178</t>
  </si>
  <si>
    <t>飯能市</t>
  </si>
  <si>
    <t>11-180</t>
  </si>
  <si>
    <t>11-38</t>
  </si>
  <si>
    <t>11-39</t>
  </si>
  <si>
    <t>11-42</t>
  </si>
  <si>
    <t>11-44</t>
  </si>
  <si>
    <t>https://www.pref.saitama.lg.jp/a0001/news/page/2019/0320-01.html</t>
  </si>
  <si>
    <t>11-46</t>
  </si>
  <si>
    <t>会社</t>
  </si>
  <si>
    <t>https://www.pref.saitama.lg.jp/a0001/news/page/2019/0321-01.html</t>
  </si>
  <si>
    <t>11-47</t>
  </si>
  <si>
    <t>11-53</t>
  </si>
  <si>
    <t>https://www.pref.saitama.lg.jp/a0001/news/page/2019/0322-01.html</t>
  </si>
  <si>
    <t>11-54</t>
  </si>
  <si>
    <t>11-43</t>
  </si>
  <si>
    <t>11-49</t>
  </si>
  <si>
    <t>川口市</t>
  </si>
  <si>
    <t>https://www.city.kawaguchi.lg.jp/material/files/group/86/korona20200322.pdf</t>
  </si>
  <si>
    <t>11-48</t>
  </si>
  <si>
    <t>11-50</t>
  </si>
  <si>
    <t>11-51</t>
  </si>
  <si>
    <t>11-56</t>
  </si>
  <si>
    <t>https://www.pref.saitama.lg.jp/a0001/news/page/2019/0324-10.html</t>
  </si>
  <si>
    <t>11-75</t>
  </si>
  <si>
    <t>11-55</t>
  </si>
  <si>
    <t>11-63</t>
  </si>
  <si>
    <t>https://www.pref.saitama.lg.jp/a0001/news/page/2019/0325-07.html</t>
  </si>
  <si>
    <t>11-57</t>
  </si>
  <si>
    <t>11-58</t>
  </si>
  <si>
    <t>11-59</t>
  </si>
  <si>
    <t>11-66</t>
  </si>
  <si>
    <t>戸田市</t>
  </si>
  <si>
    <t>https://www.pref.saitama.lg.jp/a0001/news/page/2019/0326-90.html</t>
  </si>
  <si>
    <t>11-62</t>
  </si>
  <si>
    <t>11-64</t>
  </si>
  <si>
    <t>https://www.city.kawaguchi.lg.jp/material/files/group/86/korona20200326.pdf</t>
  </si>
  <si>
    <t>11-65</t>
  </si>
  <si>
    <t>11-72</t>
  </si>
  <si>
    <t>11-69</t>
  </si>
  <si>
    <t>11-78</t>
  </si>
  <si>
    <t xml:space="preserve">春日部市 </t>
  </si>
  <si>
    <t>https://www.pref.saitama.lg.jp/a0001/news/page/2019/0328-01.html</t>
  </si>
  <si>
    <t>11-70</t>
  </si>
  <si>
    <t>11-79</t>
  </si>
  <si>
    <t>ときがわ町</t>
  </si>
  <si>
    <t>11-80</t>
  </si>
  <si>
    <t>11-77</t>
  </si>
  <si>
    <t>11-104</t>
  </si>
  <si>
    <t>https://www.city.kawaguchi.lg.jp/material/files/group/86/korona20200401.pdf</t>
  </si>
  <si>
    <t>県外旅行に同行</t>
  </si>
  <si>
    <t>11-83</t>
  </si>
  <si>
    <t>https://www.pref.saitama.lg.jp/a0001/news/page/2019/0329-01.html</t>
  </si>
  <si>
    <t>11-84</t>
  </si>
  <si>
    <t>11-133</t>
  </si>
  <si>
    <t>ふじみ野市</t>
  </si>
  <si>
    <t>11-176</t>
  </si>
  <si>
    <t>11-86</t>
  </si>
  <si>
    <t>11-88</t>
  </si>
  <si>
    <t>11-89</t>
  </si>
  <si>
    <t>11-120</t>
  </si>
  <si>
    <t>https://www.city.kawaguchi.lg.jp/material/files/group/86/korona20200402.pdf</t>
  </si>
  <si>
    <t>11-99</t>
  </si>
  <si>
    <t>11-100</t>
  </si>
  <si>
    <t>http://www.pref.saitama.lg.jp/a0001/news/page/2019/0331-11.html</t>
  </si>
  <si>
    <t>12-102</t>
  </si>
  <si>
    <t>東京都で確認された患者の濃厚接触者（3月20日）</t>
  </si>
  <si>
    <t>https://www.pref.chiba.lg.jp/shippei/press/2019/ncov20200329-1.html</t>
  </si>
  <si>
    <t>12-104</t>
  </si>
  <si>
    <t>神奈川県相模原市で確認された患者と3月20日に接触。</t>
  </si>
  <si>
    <t>12-33</t>
  </si>
  <si>
    <t>12-46</t>
  </si>
  <si>
    <t>共に日本へ入国</t>
  </si>
  <si>
    <t>https://www.pref.chiba.lg.jp/shippei/press/2019/ncov20200323.html</t>
  </si>
  <si>
    <t>12-40</t>
  </si>
  <si>
    <t>12-64</t>
  </si>
  <si>
    <t>https://www.pref.chiba.lg.jp/shippei/press/2019/ncov20200327.html</t>
  </si>
  <si>
    <t>12-41</t>
  </si>
  <si>
    <t>12-42</t>
  </si>
  <si>
    <t>12-47</t>
  </si>
  <si>
    <t>12-48</t>
  </si>
  <si>
    <t>12-62</t>
  </si>
  <si>
    <t>12-63</t>
  </si>
  <si>
    <t>スペイン</t>
  </si>
  <si>
    <t>12-66</t>
  </si>
  <si>
    <t>12-100</t>
  </si>
  <si>
    <t>職員・利用者</t>
  </si>
  <si>
    <t>香取郡東庄町 障害者福祉施設 北総育成園</t>
  </si>
  <si>
    <t>https://www.pref.chiba.lg.jp/shippei/press/2019/ncov20200328-4.html</t>
  </si>
  <si>
    <t>12-101</t>
  </si>
  <si>
    <t>12-71</t>
  </si>
  <si>
    <t>12-72</t>
  </si>
  <si>
    <t>12-73</t>
  </si>
  <si>
    <t>12-74</t>
  </si>
  <si>
    <t>12-75</t>
  </si>
  <si>
    <t>12-76</t>
  </si>
  <si>
    <t>12-77</t>
  </si>
  <si>
    <t>12-78</t>
  </si>
  <si>
    <t>12-79</t>
  </si>
  <si>
    <t>12-80</t>
  </si>
  <si>
    <t>12-81</t>
  </si>
  <si>
    <t>12-82</t>
  </si>
  <si>
    <t>12-83</t>
  </si>
  <si>
    <t>12-84</t>
  </si>
  <si>
    <t>12-85</t>
  </si>
  <si>
    <t>12-86</t>
  </si>
  <si>
    <t>12-87</t>
  </si>
  <si>
    <t>12-88</t>
  </si>
  <si>
    <t>12-89</t>
  </si>
  <si>
    <t>12-90</t>
  </si>
  <si>
    <t>12-91</t>
  </si>
  <si>
    <t>12-92</t>
  </si>
  <si>
    <t>12-93</t>
  </si>
  <si>
    <t>12-94</t>
  </si>
  <si>
    <t>12-95</t>
  </si>
  <si>
    <t>12-96</t>
  </si>
  <si>
    <t>12-97</t>
  </si>
  <si>
    <t>12-98</t>
  </si>
  <si>
    <t>12-99</t>
  </si>
  <si>
    <t>12-67</t>
  </si>
  <si>
    <t>12-106</t>
  </si>
  <si>
    <t>山武市</t>
  </si>
  <si>
    <t>13-14</t>
  </si>
  <si>
    <t>13-16</t>
  </si>
  <si>
    <t>同じ研修を受講</t>
  </si>
  <si>
    <t>https://www.msn.com/ja-jp/news/national/%E6%9D%B1%E4%BA%AC%E9%83%BD%E5%86%85%E3%81%A7%E6%96%B0%E3%81%9F%E3%81%AB5%E4%BA%BA%E6%84%9F%E6%9F%93%E7%A2%BA%E8%AA%8D-%E6%84%9B%E7%9F%A5%E7%9C%8C%E5%86%85%E3%81%A7%E3%82%82%E3%81%95%E3%82%89%E3%81%AB1%E4%BA%BA/ar-BB103d09</t>
  </si>
  <si>
    <t>13-17</t>
  </si>
  <si>
    <t>13-21</t>
  </si>
  <si>
    <t>https://www3.nhk.or.jp/news/html/20200218/k10012290911000.html</t>
  </si>
  <si>
    <t>13-28</t>
  </si>
  <si>
    <t>https://www.sanspo.com/geino/news/20200221/sot20022119050016-n1.html</t>
  </si>
  <si>
    <t>13-175</t>
  </si>
  <si>
    <t>http://www.eijuhp.com/news/jyuyo/news_20200325menkai.html</t>
  </si>
  <si>
    <t>13-179</t>
  </si>
  <si>
    <t>13-180</t>
  </si>
  <si>
    <t>13-181</t>
  </si>
  <si>
    <t>13-182</t>
  </si>
  <si>
    <t>13-183</t>
  </si>
  <si>
    <t>13-184</t>
  </si>
  <si>
    <t>13-20</t>
  </si>
  <si>
    <t>13-25</t>
  </si>
  <si>
    <t>https://news.tv-asahi.co.jp/news_society/articles/000176717.html</t>
  </si>
  <si>
    <t>13-37</t>
  </si>
  <si>
    <t>病院の看護師と患者</t>
  </si>
  <si>
    <t>杉並区佼成病院</t>
  </si>
  <si>
    <t>https://www.city.suginami.tokyo.jp/news/r0202/1058791.html</t>
  </si>
  <si>
    <t>13-39</t>
  </si>
  <si>
    <t>同室の患者</t>
  </si>
  <si>
    <t>https://www.city.suginami.tokyo.jp/news/r0203/1058792.html</t>
  </si>
  <si>
    <t>13-213</t>
  </si>
  <si>
    <t>http://www.eijuhp.com/news/jyuyo/news_20200326menkai.html</t>
  </si>
  <si>
    <t>13-214</t>
  </si>
  <si>
    <t>13-215</t>
  </si>
  <si>
    <t>13-216</t>
  </si>
  <si>
    <t>13-217</t>
  </si>
  <si>
    <t>13-218</t>
  </si>
  <si>
    <t>13-219</t>
  </si>
  <si>
    <t>13-220</t>
  </si>
  <si>
    <t>13-221</t>
  </si>
  <si>
    <t>13-222</t>
  </si>
  <si>
    <t>13-23</t>
  </si>
  <si>
    <t>13-24</t>
  </si>
  <si>
    <t>13-27</t>
  </si>
  <si>
    <t>13-4</t>
  </si>
  <si>
    <t>13-10</t>
  </si>
  <si>
    <t>屋形船</t>
  </si>
  <si>
    <t>城南地区の個人タクシー組合支部の新年会（屋形船）</t>
  </si>
  <si>
    <t>https://www.metro.tokyo.lg.jp/tosei/hodohappyo/press/2020/02/16/01.html</t>
  </si>
  <si>
    <t>13-11</t>
  </si>
  <si>
    <t>13-12</t>
  </si>
  <si>
    <t>13-13</t>
  </si>
  <si>
    <t>13-18</t>
  </si>
  <si>
    <t>https://www.metro.tokyo.lg.jp/tosei/hodohappyo/press/2020/02/17/30.html</t>
  </si>
  <si>
    <t>https://www.metro.tokyo.lg.jp/tosei/hodohappyo/press/2020/02/19/30.html</t>
  </si>
  <si>
    <t>13-5</t>
  </si>
  <si>
    <t>同じ会社勤務</t>
  </si>
  <si>
    <t>https://www.jiji.com/jc/article?k=2020021401047&amp;g=soc</t>
  </si>
  <si>
    <t>13-6</t>
  </si>
  <si>
    <t>https://www.metro.tokyo.lg.jp/tosei/hodohappyo/press/2020/02/14/33.html</t>
  </si>
  <si>
    <t>13-7</t>
  </si>
  <si>
    <t>13-8</t>
  </si>
  <si>
    <t>13-9</t>
  </si>
  <si>
    <t>13-40</t>
  </si>
  <si>
    <t>13-46</t>
  </si>
  <si>
    <t>足立区</t>
  </si>
  <si>
    <t>https://www.city.adachi.tokyo.jp/hodo/juyo/0305juyo.html</t>
  </si>
  <si>
    <t>13-42</t>
  </si>
  <si>
    <t>39-1</t>
  </si>
  <si>
    <t>ライブハウス Arc (大阪市)</t>
  </si>
  <si>
    <t>https://www.city.setagaya.lg.jp/mokuji/kusei/001/001/004/d00184879.html</t>
  </si>
  <si>
    <t>13-44</t>
  </si>
  <si>
    <t>https://mainichi.jp/articles/20200306/k00/00m/040/216000c</t>
  </si>
  <si>
    <t>13-45</t>
  </si>
  <si>
    <t>兄弟</t>
  </si>
  <si>
    <t>13-47</t>
  </si>
  <si>
    <t>13-61</t>
  </si>
  <si>
    <t>https://www3.nhk.or.jp/news/html/20200307/k10012319201000.html</t>
  </si>
  <si>
    <t>13-74</t>
  </si>
  <si>
    <t>https://catalog.data.metro.tokyo.lg.jp/dataset/t000010d0000000068/resource/c2d997db-1450-43fa-8037-ebb11ec28d4c;https://www.bousai.metro.tokyo.lg.jp/taisaku/saigai/1007261/1007474.html;https://www.asahi.com/articles/ASN3D72L3N3DUTIL03X.html</t>
  </si>
  <si>
    <t>病院の看護師と医師</t>
  </si>
  <si>
    <t>同じ病院に務める同僚と食事</t>
  </si>
  <si>
    <t>https://www3.nhk.or.jp/news/html/20200216/k10012288171000.html</t>
  </si>
  <si>
    <t>14-100</t>
  </si>
  <si>
    <t>14-101</t>
  </si>
  <si>
    <t>神奈川県</t>
  </si>
  <si>
    <t>https://www.pref.kanagawa.jp/documents/58277/20200327_yokohama_corona.pdf</t>
  </si>
  <si>
    <t>14-125</t>
  </si>
  <si>
    <t>https://www.pref.kanagawa.jp/documents/58277/20200329_yokohama_corona.pdf</t>
  </si>
  <si>
    <t>14-153</t>
  </si>
  <si>
    <t>https://www.pref.kanagawa.jp/documents/58277/20200401_kanagawa_1.pdf</t>
  </si>
  <si>
    <t>14-103</t>
  </si>
  <si>
    <t>https://www.city.kawaguchi.lg.jp/material/files/group/86/20200329korona.pdf</t>
  </si>
  <si>
    <t>14-105</t>
  </si>
  <si>
    <t>14-147</t>
  </si>
  <si>
    <t>川崎市幸区</t>
  </si>
  <si>
    <t>https://www.pref.kanagawa.jp/documents/58277/200401_kawasaki.pdf;</t>
  </si>
  <si>
    <t>14-148</t>
  </si>
  <si>
    <t>https://www.pref.kanagawa.jp/documents/58277/20200327_kawasaki_corona.pdf</t>
  </si>
  <si>
    <t>14-119</t>
  </si>
  <si>
    <t>14-139</t>
  </si>
  <si>
    <t>https://www.pref.kanagawa.jp/documents/58277/20200331_kanagawa.pdf</t>
  </si>
  <si>
    <t>14-126</t>
  </si>
  <si>
    <t>14-127</t>
  </si>
  <si>
    <t>横須賀市</t>
  </si>
  <si>
    <t>https://www.city.yokosuka.kanagawa.jp/3130/nagekomi/20200329.html</t>
  </si>
  <si>
    <t>14-138</t>
  </si>
  <si>
    <t>14-158</t>
  </si>
  <si>
    <t>14-159</t>
  </si>
  <si>
    <t>14-160</t>
  </si>
  <si>
    <t>14-161</t>
  </si>
  <si>
    <t>14-145</t>
  </si>
  <si>
    <t>14-146</t>
  </si>
  <si>
    <t>都内ライブハウス</t>
  </si>
  <si>
    <t>14-149</t>
  </si>
  <si>
    <t>14-150</t>
  </si>
  <si>
    <t xml:space="preserve">３月２８日（土）に新型コロナウイルス陽性が判明した患者の家族 </t>
  </si>
  <si>
    <t>14-164</t>
  </si>
  <si>
    <t>鎌倉保健福祉事務所管内</t>
  </si>
  <si>
    <t>https://www.pref.kanagawa.jp/documents/58277/20200402_kanagawa.pdf</t>
  </si>
  <si>
    <t>14-170</t>
  </si>
  <si>
    <t>https://www.pref.kanagawa.jp/documents/58277/200402_kawasaki_1.pdf</t>
  </si>
  <si>
    <t xml:space="preserve">３月３１日（火）に発表した新型コロナウイルス陽性患者（３月３０日判明）の家族 </t>
  </si>
  <si>
    <t>14-173</t>
  </si>
  <si>
    <t>４月１日（水）に発表した新型コロナウイルス陽性患者（３月３１日判明）の接触者</t>
  </si>
  <si>
    <t>14-51</t>
  </si>
  <si>
    <t>https://www.pref.kanagawa.jp/docs/ga5/bukanshi/occurrence.html</t>
  </si>
  <si>
    <t>14-56</t>
  </si>
  <si>
    <t>https://www.pref.kanagawa.jp/documents/58277/20200315_yokosuka_corona.doc;https://www.city.yokosuka.kanagawa.jp/3130/nagekomi/20200316.html;https://www.city.yokosuka.kanagawa.jp/3130/nagekomi/20200317.html</t>
  </si>
  <si>
    <t>14-62</t>
  </si>
  <si>
    <t>介護職とその勤務病棟の入居者</t>
  </si>
  <si>
    <t>介護老人保健施設「ハートケア湘南・芦名」</t>
  </si>
  <si>
    <t>https://www.pref.kanagawa.jp/documents/58277/20200320_yokosuka_corona.pdf</t>
  </si>
  <si>
    <t>14-69</t>
  </si>
  <si>
    <t>14-92</t>
  </si>
  <si>
    <t>https://www.pref.kanagawa.jp/docs/ga4/bukanshi/occurrence.html</t>
  </si>
  <si>
    <t>14-8</t>
  </si>
  <si>
    <t>14-58</t>
  </si>
  <si>
    <t>同室患者</t>
  </si>
  <si>
    <t>相模原中央病院</t>
  </si>
  <si>
    <t>http://www.kansensho.or.jp/uploads/files/topics/2019ncov/covid19_casereport_200312_4.pdf</t>
  </si>
  <si>
    <t>14-80</t>
  </si>
  <si>
    <t>14-90</t>
  </si>
  <si>
    <t>神奈川県小田原保健福祉事務所管内（小田原市、南足柄市、中井町、大井町、松田町、山北町、開成町、箱根町、真鶴町、湯河原町）</t>
  </si>
  <si>
    <t>14-82</t>
  </si>
  <si>
    <t>14-91</t>
  </si>
  <si>
    <t>神奈川県平塚保健福祉事務所管内（平塚市、秦野市、伊勢原市、大磯町、二宮町）</t>
  </si>
  <si>
    <t>14-87</t>
  </si>
  <si>
    <t>14-88</t>
  </si>
  <si>
    <t>https://www.pref.kanagawa.jp/documents/58277/20200325_kawasaki_corona.pdf</t>
  </si>
  <si>
    <t>14-89</t>
  </si>
  <si>
    <t>14-104</t>
  </si>
  <si>
    <t>川崎市麻生区</t>
  </si>
  <si>
    <t>14-122</t>
  </si>
  <si>
    <t>14-95</t>
  </si>
  <si>
    <t>14-106</t>
  </si>
  <si>
    <t>川崎市川崎区</t>
  </si>
  <si>
    <t>15-1</t>
  </si>
  <si>
    <t>15-2</t>
  </si>
  <si>
    <t>卓球スクール</t>
  </si>
  <si>
    <t>新潟県</t>
  </si>
  <si>
    <t>15-3</t>
  </si>
  <si>
    <t>15-4</t>
  </si>
  <si>
    <t>15-5</t>
  </si>
  <si>
    <t>15-16</t>
  </si>
  <si>
    <t>15-23</t>
  </si>
  <si>
    <t>https://www.city.niigata.lg.jp/iryo/kenko/yobou_kansen/kansen/2020coronavirus.files/0319houdou.pdf;https://news.livedoor.com/article/detail/17990213/</t>
  </si>
  <si>
    <t>15-7</t>
  </si>
  <si>
    <t>卓球個人利用</t>
  </si>
  <si>
    <t>鳥屋野総合体育館</t>
  </si>
  <si>
    <t>https://www.city.niigata.lg.jp/iryo/kenko/yobou_kansen/kansen/2020coronavirus.files/press3.9_2.pdf;https://www.fukuishimbun.co.jp/articles/-/1044861</t>
  </si>
  <si>
    <t>15-8</t>
  </si>
  <si>
    <t>みんなの卓球オープン大会参加</t>
  </si>
  <si>
    <t>亀田総合体育館</t>
  </si>
  <si>
    <t>15-6</t>
  </si>
  <si>
    <t>同居の息子</t>
  </si>
  <si>
    <t>新潟市 中央区</t>
  </si>
  <si>
    <t>15-18</t>
  </si>
  <si>
    <t>保育園職員</t>
  </si>
  <si>
    <t>新潟市立山潟保育園</t>
  </si>
  <si>
    <t>https://www.city.niigata.lg.jp/iryo/kenko/yobou_kansen/kansen/2020coronavirus.files/press0317.pdf</t>
  </si>
  <si>
    <t>15-19</t>
  </si>
  <si>
    <t>15-24</t>
  </si>
  <si>
    <t>保育園職員と園児</t>
  </si>
  <si>
    <t>https://www.city.niigata.lg.jp/iryo/kenko/yobou_kansen/kansen/coronavirus.files/press0319.pdf;https://news.livedoor.com/article/detail/17990213/</t>
  </si>
  <si>
    <t>16-1</t>
  </si>
  <si>
    <t>16-2</t>
  </si>
  <si>
    <t>友人</t>
  </si>
  <si>
    <t>富山県</t>
  </si>
  <si>
    <t>http://www.pref.toyama.jp/cms_pfile/00021798/01377695.pdf</t>
  </si>
  <si>
    <t>16-3</t>
  </si>
  <si>
    <t>https://www.city.toyama.toyama.jp/data/open/cnt/3/21213/1/R2.4.1shingatakorona2-3.pdf?20200403193512</t>
  </si>
  <si>
    <t>16-4</t>
  </si>
  <si>
    <t>https://www.city.toyama.toyama.jp/data/open/cnt/3/21213/1/R2.4.1shingatakorona2-3.pdf?20200404201156</t>
  </si>
  <si>
    <t>16-9</t>
  </si>
  <si>
    <t>富山市飲食店</t>
  </si>
  <si>
    <t>https://www.city.toyama.toyama.jp/data/open/cnt/3/21213/1/R2.4.4shingatakorona_2.pdf?20200407174238</t>
  </si>
  <si>
    <t>38-4</t>
  </si>
  <si>
    <t>参加者</t>
  </si>
  <si>
    <t>京都府</t>
  </si>
  <si>
    <t>京都産業大ゼミ卒業祝賀会</t>
  </si>
  <si>
    <t>https://www.city.toyama.toyama.jp/data/open/cnt/3/21213/1/R2.3.31shingatakorona.pdf?20200331151146</t>
  </si>
  <si>
    <t>16-6</t>
  </si>
  <si>
    <t>母親</t>
  </si>
  <si>
    <t>https://www.city.toyama.toyama.jp/data/open/cnt/3/21213/1/R2.4.2shingatakorona.4-5.pdf?20200404201156</t>
  </si>
  <si>
    <t>16-7</t>
  </si>
  <si>
    <t>16-5</t>
  </si>
  <si>
    <t>16-8</t>
  </si>
  <si>
    <t>http://www.pref.toyama.jp/cms_pfile/00021798/01378251.pdf</t>
  </si>
  <si>
    <t>18-7</t>
  </si>
  <si>
    <t>18-11</t>
  </si>
  <si>
    <t>福井県</t>
  </si>
  <si>
    <t>飲食店A</t>
  </si>
  <si>
    <t>https://www.pref.fukui.lg.jp/doc/kenkou/kansensyo-yobousessyu/corona_d/fil/200328-1.pdf;https://www.chunichi.co.jp/article/fukui/20200407/CK2020040702000043.html</t>
  </si>
  <si>
    <t>18-9</t>
  </si>
  <si>
    <t>18-8</t>
  </si>
  <si>
    <t>18-10</t>
  </si>
  <si>
    <t>19-1</t>
  </si>
  <si>
    <t>27-15</t>
  </si>
  <si>
    <t>ライブハウス滞在 (2/21 americamura FANJ twice)</t>
  </si>
  <si>
    <t>山梨県</t>
  </si>
  <si>
    <t>https://news.shoninsha.co.jp/strategy/148563</t>
  </si>
  <si>
    <t>19-10</t>
  </si>
  <si>
    <t>19-12</t>
  </si>
  <si>
    <t>同じ勤務先</t>
  </si>
  <si>
    <t>https://www.pref.yamanashi.jp/koucho/coronavirus/documents/200405_case12ver3.pdf</t>
  </si>
  <si>
    <t>19-13</t>
  </si>
  <si>
    <t>https://www.pref.yamanashi.jp/koucho/coronavirus/documents/200405_case13ver2.pdf</t>
  </si>
  <si>
    <t>19-19</t>
  </si>
  <si>
    <t>19-11</t>
  </si>
  <si>
    <t>19-14</t>
  </si>
  <si>
    <t>アルバイト先</t>
  </si>
  <si>
    <t>https://www.pref.yamanashi.jp/koucho/coronavirus/documents/200405_case14ver2.pdf</t>
  </si>
  <si>
    <t>19-18</t>
  </si>
  <si>
    <t>https://www.pref.yamanashi.jp/koucho/coronavirus/documents/200406_case18.pdf</t>
  </si>
  <si>
    <t>19-3</t>
  </si>
  <si>
    <t>19-4</t>
  </si>
  <si>
    <t>https://www.pref.yamanashi.jp/koucho/coronavirus/documents/200325_case3-4.pdf</t>
  </si>
  <si>
    <t>20-1</t>
  </si>
  <si>
    <t>長野県</t>
  </si>
  <si>
    <t>松本保健所管内</t>
  </si>
  <si>
    <t>https://www.pref.nagano.lg.jp/hoken-shippei/happyou/press20200226corona.html</t>
  </si>
  <si>
    <t>20-10</t>
  </si>
  <si>
    <t>20-11</t>
  </si>
  <si>
    <t>https://www.pref.nagano.lg.jp/hoken-shippei/happyou/0405press.html</t>
  </si>
  <si>
    <t>20-13</t>
  </si>
  <si>
    <t>諏訪保健所管内</t>
  </si>
  <si>
    <t>https://www.pref.nagano.lg.jp/hoken-shippei/happyou/0406press.html</t>
  </si>
  <si>
    <t>20-3</t>
  </si>
  <si>
    <t>27-12</t>
  </si>
  <si>
    <t>https://www.pref.nagano.lg.jp/hoken-shippei/happyou/press20200306corona3.html</t>
  </si>
  <si>
    <t>21-1</t>
  </si>
  <si>
    <t>21-2</t>
  </si>
  <si>
    <t>岐阜県</t>
  </si>
  <si>
    <t>https://headlines.yahoo.co.jp/hl?a=20200323-00027437-tokaiv-soci</t>
  </si>
  <si>
    <t>21-12</t>
  </si>
  <si>
    <t>21-15</t>
  </si>
  <si>
    <t>https://www.pref.gifu.lg.jp/kinkyu-juyo-joho/shingata_corona.data/0326-2_kanjya_kisyasiryou.pdf</t>
  </si>
  <si>
    <t>21-4</t>
  </si>
  <si>
    <t>21-6</t>
  </si>
  <si>
    <t>https://www.pref.gifu.lg.jp/kinkyu-juyo-joho/shingata_corona.data/0323_kanjya_kisyasiryou.pdf;https://headlines.yahoo.co.jp/hl?a=20200323-00027437-tokaiv-soci</t>
  </si>
  <si>
    <t>21-5</t>
  </si>
  <si>
    <t>21-10</t>
  </si>
  <si>
    <t>合唱団</t>
  </si>
  <si>
    <t>https://www.pref.gifu.lg.jp/kinkyu-juyo-joho/shingata_corona.data/0324_kanjya_kisyasiryou.pdf</t>
  </si>
  <si>
    <t>21-11</t>
  </si>
  <si>
    <t>https://www.pref.gifu.lg.jp/kinkyu-juyo-joho/shingata_corona.data/0325_kanjya_kisyasiryou.pdf</t>
  </si>
  <si>
    <t>21-14</t>
  </si>
  <si>
    <t>https://www.pref.gifu.lg.jp/kinkyu-juyo-joho/shingata_corona.data/0326_kanjya_kisyasiryou.pdf</t>
  </si>
  <si>
    <t>21-7</t>
  </si>
  <si>
    <t>https://www.pref.gifu.lg.jp/kinkyu-juyo-joho/shingata_corona.data/0323-2_kanjya_kisyasiryou.pdf;https://headlines.yahoo.co.jp/hl?a=20200323-00027437-tokaiv-soci</t>
  </si>
  <si>
    <t>21-13</t>
  </si>
  <si>
    <t>21-8</t>
  </si>
  <si>
    <t>21-9</t>
  </si>
  <si>
    <t>フィリピン</t>
  </si>
  <si>
    <t>https://www.city.gifu.lg.jp/secure/44927/kansen3_s.pdf</t>
  </si>
  <si>
    <t>22-3</t>
  </si>
  <si>
    <t>https://www.city.shizuoka.lg.jp/000847581.pdf;http://www.pref.shizuoka.jp/kousei/ko-420a/kansen/documents/01doukou.pdf</t>
  </si>
  <si>
    <t>22-5</t>
  </si>
  <si>
    <t>22-6</t>
  </si>
  <si>
    <t>静岡県</t>
  </si>
  <si>
    <t>静岡市葵区</t>
  </si>
  <si>
    <t>https://www.city.shizuoka.lg.jp/000849502.pdf</t>
  </si>
  <si>
    <t>22-7</t>
  </si>
  <si>
    <t>22-8</t>
  </si>
  <si>
    <t>岡崎市</t>
  </si>
  <si>
    <t>https://www.city.gamagori.lg.jp/unit/hoken/covid-19press.html</t>
  </si>
  <si>
    <t>http://www.city.nagoya.jp/kenkofukushi/cmsfiles/contents/0000126/126920/200320kisya.pdf</t>
  </si>
  <si>
    <t>病院で同室</t>
  </si>
  <si>
    <t>中部労災病院</t>
  </si>
  <si>
    <t>http://www.city.nagoya.jp/kenkofukushi/cmsfiles/contents/0000126/126920/200314kannzyazyouhou.pdf;http://www.chubuh.johas.go.jp/information/detail/info_detail__814.html</t>
  </si>
  <si>
    <t>http://www.city.nagoya.jp/kenkofukushi/cmsfiles/contents/0000126/126920/200314kannzyazyouhou.pdf</t>
  </si>
  <si>
    <t>http://www.city.nagoya.jp/kenkofukushi/cmsfiles/contents/0000126/126920/R20317kannzya.pdf</t>
  </si>
  <si>
    <t>https://www.pref.aichi.jp/site/covid19-aichi/pressrelease-ncov200318.html</t>
  </si>
  <si>
    <t>http://www.city.nagoya.jp/kenkofukushi/cmsfiles/contents/0000126/126920/R20318kisya.pdf</t>
  </si>
  <si>
    <t>23-131</t>
  </si>
  <si>
    <t>会社の同僚(同じラインの対面工程作業者)</t>
  </si>
  <si>
    <t>https://www.pref.aichi.jp/site/covid19-aichi/pressrelease-ncov200322.html;https://global.toyota/jp/newsroom/corporate/32059912.html</t>
  </si>
  <si>
    <t>23-143</t>
  </si>
  <si>
    <t>職員と患者</t>
  </si>
  <si>
    <t>八事日赤病院</t>
  </si>
  <si>
    <t>http://www.city.nagoya.jp/kenkofukushi/cmsfiles/contents/0000126/126920/R20322kisya.pdf;https://www.fnn.jp/posts/10858THK</t>
  </si>
  <si>
    <t>http://www.city.nagoya.jp/kenkofukushi/cmsfiles/contents/0000126/126920/200324happyou.pdf</t>
  </si>
  <si>
    <t>23-154</t>
  </si>
  <si>
    <t>http://www.city.nagoya.jp/kenkofukushi/cmsfiles/contents/0000126/126920/R20325kisyahappyou.pdf;https://www.nagoya2.jrc.or.jp/shingatakoronauirusukansensyounotaiounituite/</t>
  </si>
  <si>
    <t>23-160</t>
  </si>
  <si>
    <t>http://www.city.nagoya.jp/kenkofukushi/cmsfiles/contents/0000126/126920/R20327kisyahappyou.pdf;https://www.nagoya2.jrc.or.jp/shingatakoronauirusukansensyounotaiounituite/</t>
  </si>
  <si>
    <t>同じ職場</t>
  </si>
  <si>
    <t>名古屋高速道路料金所</t>
  </si>
  <si>
    <t>https://www.nagoya-expressway.or.jp/files/news/file/11cf1eb2042a7604dca525e44d644535.pdf</t>
  </si>
  <si>
    <t>https://www.pref.aichi.jp/site/covid19-aichi/pressrelease-ncov200321.html</t>
  </si>
  <si>
    <t>23-145</t>
  </si>
  <si>
    <t>23-150</t>
  </si>
  <si>
    <t>https://www.pref.aichi.jp/site/covid19-aichi/pressrelease-ncov200325.html</t>
  </si>
  <si>
    <t>23-151</t>
  </si>
  <si>
    <t>23-158</t>
  </si>
  <si>
    <t>職場</t>
  </si>
  <si>
    <t>https://www.pref.aichi.jp/site/covid19-aichi/pressrelease-ncov200327.html</t>
  </si>
  <si>
    <t>https://www.pref.aichi.jp/site/covid19-aichi/pressrelease-ncov200324.html</t>
  </si>
  <si>
    <t>23-152</t>
  </si>
  <si>
    <t>同じ合唱団</t>
  </si>
  <si>
    <t>23-161</t>
  </si>
  <si>
    <t>クルーズ船</t>
  </si>
  <si>
    <t>https://www.city.okazaki.lg.jp/houdou/p026022.html</t>
  </si>
  <si>
    <t>https://www.pref.aichi.jp/site/covid19-aichi/pressrelease-ncov200328.html</t>
  </si>
  <si>
    <t>23-159</t>
  </si>
  <si>
    <t>同じスポーツジム利用</t>
  </si>
  <si>
    <t>スポーツクラブ</t>
  </si>
  <si>
    <t>21-16</t>
  </si>
  <si>
    <t>http://www.city.nagoya.jp/kenkofukushi/cmsfiles/contents/0000126/126920/R20306kisya.pdf</t>
  </si>
  <si>
    <t>同施設を利用</t>
  </si>
  <si>
    <t>https://www.pref.aichi.jp/uploaded/attachment/324021.pdf</t>
  </si>
  <si>
    <t>http://www.city.nagoya.jp/kenkofukushi/cmsfiles/contents/0000126/126920/R20304kisya.pdf</t>
  </si>
  <si>
    <t>http://www.city.nagoya.jp/kenkofukushi/cmsfiles/contents/0000126/126920/R20310kisya.pdf</t>
  </si>
  <si>
    <t>非公表</t>
  </si>
  <si>
    <t>http://www.city.nagoya.jp/kenkofukushi/cmsfiles/contents/0000126/126920/R20228kisya.pdf</t>
  </si>
  <si>
    <t>同居</t>
  </si>
  <si>
    <t>名古屋市内共同住宅で同居</t>
  </si>
  <si>
    <t>http://www.city.nagoya.jp/kenkofukushi/cmsfiles/contents/0000126/126920/R20301kisya.pdf;https://www.tokai-tv.com/newsone/corner/20200302-coronaviruscluster.html</t>
  </si>
  <si>
    <t>http://www.city.nagoya.jp/kenkofukushi/cmsfiles/contents/0000126/126920/R20305kisya.pdf</t>
  </si>
  <si>
    <t>救急車搬送に付き添う</t>
  </si>
  <si>
    <t>http://www.city.nagoya.jp/kenkofukushi/cmsfiles/contents/0000126/126920/R20215kisya.pdf</t>
  </si>
  <si>
    <t>緑区デイサービスA</t>
  </si>
  <si>
    <t>http://www.city.nagoya.jp/kenkofukushi/cmsfiles/contents/0000126/126920/R20303kisya.pdf;https://www.nikkei.com/article/DGXMZO56536490X00C20A3CC1000/</t>
  </si>
  <si>
    <t>http://www.city.nagoya.jp/kenkofukushi/cmsfiles/contents/0000126/126920/R20304kisya.pdf;https://www.nikkei.com/article/DGXMZO56536490X00C20A3CC1000/</t>
  </si>
  <si>
    <t>蒲郡市</t>
  </si>
  <si>
    <t>https://www.city.okazaki.lg.jp/1550/1562/1615/p025920.html;ttps://www.pref.aichi.jp/uploaded/attachment/324021.pdf;https://www.city.gamagori.lg.jp/unit/hoken/covid-19press.html</t>
  </si>
  <si>
    <t>施術</t>
  </si>
  <si>
    <t>出張マッサージ（整体）（</t>
  </si>
  <si>
    <t>https://www.city.gamagori.lg.jp/unit/hoken/covid-19press.html;https://www.city.okazaki.lg.jp/1550/1562/1615/p025920.html</t>
  </si>
  <si>
    <t>出張マッサージ（整体）</t>
  </si>
  <si>
    <t>緑区デイサービスB</t>
  </si>
  <si>
    <t>http://www.city.nagoya.jp/kenkofukushi/cmsfiles/contents/0000126/126920/R20304kisya.pdf;https://www.asahi.com/articles/ASN37624HN37OIPE008.html</t>
  </si>
  <si>
    <t>http://www.city.nagoya.jp/kenkofukushi/cmsfiles/contents/0000126/126920/R20305kisya.pdf;https://www.asahi.com/articles/ASN37624HN37OIPE008.html</t>
  </si>
  <si>
    <t>http://www.city.nagoya.jp/kenkofukushi/cmsfiles/contents/0000126/126920/R20306kisya.pdf;https://www.asahi.com/articles/ASN37624HN37OIPE008.html</t>
  </si>
  <si>
    <t>http://www.city.nagoya.jp/kenkofukushi/cmsfiles/contents/0000126/126920/R20307kisya.pdf;https://www.asahi.com/articles/ASN37624HN37OIPE008.html</t>
  </si>
  <si>
    <t>http://www.city.nagoya.jp/kenkofukushi/cmsfiles/contents/0000126/126920/R20308kisya.pdf;https://www.asahi.com/articles/ASN37624HN37OIPE008.html</t>
  </si>
  <si>
    <t>http://www.city.nagoya.jp/kenkofukushi/cmsfiles/contents/0000126/126920/R20310kisya.pdf;https://www.asahi.com/articles/ASN37624HN37OIPE008.html</t>
  </si>
  <si>
    <t>http://www.city.nagoya.jp/kenkofukushi/cmsfiles/contents/0000126/126920/R20319kisyahappyou.pdf;https://www.tokai-tv.com/tokainews/article.php?i=119966&amp;date=20200319</t>
  </si>
  <si>
    <t>http://www.city.nagoya.jp/kenkofukushi/cmsfiles/contents/0000126/126920/R20309kisya.pdf</t>
  </si>
  <si>
    <t>愛知県熱田区のスポーツクラブＡ</t>
  </si>
  <si>
    <t>http://www.city.nagoya.jp/kenkofukushi/cmsfiles/contents/0000126/126920/R20219kisya.pdf;https://www.chunichi.co.jp/article/feature/coronavirus/list/CK2020031402000209.html</t>
  </si>
  <si>
    <t>http://www.city.nagoya.jp/kenkofukushi/cmsfiles/contents/0000126/126920/R20222kisya.pdf;https://www.chunichi.co.jp/article/feature/coronavirus/list/CK2020031402000209.html</t>
  </si>
  <si>
    <t>http://www.city.nagoya.jp/kenkofukushi/cmsfiles/contents/0000126/126920/R20223kisya.pdf;https://www.chunichi.co.jp/article/feature/coronavirus/list/CK2020031402000209.html</t>
  </si>
  <si>
    <t>http://www.city.nagoya.jp/kenkofukushi/cmsfiles/contents/0000126/126920/R20225kisya.pdf;https://www.chunichi.co.jp/article/feature/coronavirus/list/CK2020031402000209.html</t>
  </si>
  <si>
    <t>https://www.pref.aichi.jp/uploaded/attachment/321683.pdf</t>
  </si>
  <si>
    <t>https://www.city.gamagori.lg.jp/unit/hoken/covid-19press.html;https://www.city.toyota.aichi.jp/pressrelease/1036848/1037074.html</t>
  </si>
  <si>
    <t>名古屋市内福祉施設C</t>
  </si>
  <si>
    <t>http://www.city.nagoya.jp/kenkofukushi/cmsfiles/contents/0000126/126920/R20311kisya(kanjya).pdf;https://www.chunichi.co.jp/article/feature/coronavirus/list/CK2020031402000209.html</t>
  </si>
  <si>
    <t>http://www.city.nagoya.jp/kenkofukushi/cmsfiles/contents/0000126/126920/R20316kisyahappyou.pdf;https://www.chunichi.co.jp/article/feature/coronavirus/list/CK2020031402000209.html</t>
  </si>
  <si>
    <t>http://www.city.nagoya.jp/kenkofukushi/cmsfiles/contents/0000126/126920/R20307kisya.pdf;https://www.chunichi.co.jp/article/feature/coronavirus/list/CK2020031402000209.html</t>
  </si>
  <si>
    <t>http://www.city.nagoya.jp/kenkofukushi/cmsfiles/contents/0000126/126920/R20308kisya.pdf;https://www.chunichi.co.jp/article/feature/coronavirus/list/CK2020031402000209.html</t>
  </si>
  <si>
    <t>http://www.city.nagoya.jp/kenkofukushi/cmsfiles/contents/0000126/126920/R20309kisya.pdf;https://www.chunichi.co.jp/article/feature/coronavirus/list/CK2020031402000209.html</t>
  </si>
  <si>
    <t>http://www.city.nagoya.jp/kenkofukushi/cmsfiles/contents/0000126/126920/R20310kisya.pdf;https://www.chunichi.co.jp/article/feature/coronavirus/list/CK2020031402000209.html</t>
  </si>
  <si>
    <t>https://www.pref.aichi.jp/uploaded/attachment/322088.pdf</t>
  </si>
  <si>
    <t>https://www.pref.aichi.jp/uploaded/attachment/322235.pdf</t>
  </si>
  <si>
    <t>名古屋市内福祉施設D</t>
  </si>
  <si>
    <t>http://www.city.nagoya.jp/kenkofukushi/cmsfiles/contents/0000126/126920/200314kannzyazyouhou.pdf;https://www.chunichi.co.jp/article/feature/coronavirus/list/CK2020031402000209.html</t>
  </si>
  <si>
    <t>http://www.city.nagoya.jp/kenkofukushi/cmsfiles/contents/0000126/126920/R20311kisya(kanjya).pdf</t>
  </si>
  <si>
    <t>http://www.city.nagoya.jp/kenkofukushi/cmsfiles/contents/0000126/126920/R20312kisya(youseikanjya).pdf</t>
  </si>
  <si>
    <t>http://www.city.nagoya.jp/kenkofukushi/cmsfiles/contents/0000126/126920/R20308kisya.pdf</t>
  </si>
  <si>
    <t>http://www.city.nagoya.jp/kenkofukushi/cmsfiles/contents/0000126/126920/R20307kisya.pdf</t>
  </si>
  <si>
    <t>http://www.city.nagoya.jp/kenkofukushi/cmsfiles/contents/0000126/126920/200313kannzyazyouhou.pdf</t>
  </si>
  <si>
    <t>http://www.city.nagoya.jp/kenkofukushi/cmsfiles/contents/0000126/126920/R20221kisya.pdf;https://www.chunichi.co.jp/article/feature/coronavirus/list/CK2020031402000209.html</t>
  </si>
  <si>
    <t>愛知県港区区のスポーツクラブB</t>
  </si>
  <si>
    <t>http://www.city.nagoya.jp/kenkofukushi/cmsfiles/contents/0000126/126920/R20226kisya.pdf;https://www.chunichi.co.jp/article/feature/coronavirus/list/CK2020031402000209.html</t>
  </si>
  <si>
    <t>23-80</t>
  </si>
  <si>
    <t>http://www.city.nagoya.jp/kenkofukushi/cmsfiles/contents/0000126/126920/R20226kisya.pdf</t>
  </si>
  <si>
    <t>24-11</t>
  </si>
  <si>
    <t>24-14</t>
  </si>
  <si>
    <t>陸上競技練習会</t>
  </si>
  <si>
    <t>三重県</t>
  </si>
  <si>
    <t>鈴鹿市</t>
  </si>
  <si>
    <t>https://www.pref.mie.lg.jp/YAKUMUS/HP/m0068000071_00031.htm;https://www.pref.mie.lg.jp/YAKUMUS/HP/m0068000071_00035.htm</t>
  </si>
  <si>
    <t>24-3</t>
  </si>
  <si>
    <t>24-4</t>
  </si>
  <si>
    <t>近親者</t>
  </si>
  <si>
    <t>https://www.pref.mie.lg.jp/YAKUMUS/HP/m0068000071_00016.htm</t>
  </si>
  <si>
    <t>24-5</t>
  </si>
  <si>
    <t>24-6</t>
  </si>
  <si>
    <t>24-7</t>
  </si>
  <si>
    <t>24-8</t>
  </si>
  <si>
    <t>https://www.pref.mie.lg.jp/YAKUMUS/HP/m0068000071_00014.htm</t>
  </si>
  <si>
    <t>25-2</t>
  </si>
  <si>
    <t>25-3</t>
  </si>
  <si>
    <t>滋賀県</t>
  </si>
  <si>
    <t>東近江市</t>
  </si>
  <si>
    <t>https://www.pref.shiga.lg.jp/ippan/kenkouiryouhukushi/yakuzi/310735.html</t>
  </si>
  <si>
    <t>25-8</t>
  </si>
  <si>
    <t>25-16</t>
  </si>
  <si>
    <t>栗東市</t>
  </si>
  <si>
    <t>https://www.pref.shiga.lg.jp/kensei/koho/e-shinbun/oshirase/311166.html</t>
  </si>
  <si>
    <t>25-17</t>
  </si>
  <si>
    <t>草津市</t>
  </si>
  <si>
    <t>26-12</t>
  </si>
  <si>
    <t>https://mainichi.jp/articles/20200311/k00/00m/040/307000c</t>
  </si>
  <si>
    <t>26-15</t>
  </si>
  <si>
    <t>保育士と園児</t>
  </si>
  <si>
    <t>京都市南区南保育所</t>
  </si>
  <si>
    <t>https://www3.nhk.or.jp/news/html/20200311/k10012326371000.html</t>
  </si>
  <si>
    <t>26-17</t>
  </si>
  <si>
    <t>保護者</t>
  </si>
  <si>
    <t>京都市</t>
  </si>
  <si>
    <t>https://www.pref.kyoto.jp/kentai/news/novelcoronavirus.html#F</t>
  </si>
  <si>
    <t>26-21</t>
  </si>
  <si>
    <t>26-18</t>
  </si>
  <si>
    <t>26-19</t>
  </si>
  <si>
    <t>26-23</t>
  </si>
  <si>
    <t>26-33</t>
  </si>
  <si>
    <t>https://www.mhlw.go.jp/content/10906000/000613927.pdf</t>
  </si>
  <si>
    <t>26-27</t>
  </si>
  <si>
    <t>26-31</t>
  </si>
  <si>
    <t>https://www.mhlw.go.jp/content/10906000/000613044.pdf</t>
  </si>
  <si>
    <t>26-3</t>
  </si>
  <si>
    <t>26-4</t>
  </si>
  <si>
    <t>https://www.pref.kyoto.jp/kentai/news/novelcoronavirus.html</t>
  </si>
  <si>
    <t>26-42</t>
  </si>
  <si>
    <t>https://www.mhlw.go.jp/content/10906000/000615142.pdf</t>
  </si>
  <si>
    <t>26-43</t>
  </si>
  <si>
    <t>26-44</t>
  </si>
  <si>
    <t>26-45</t>
  </si>
  <si>
    <t>26-52</t>
  </si>
  <si>
    <t>井手町役場職員と学生</t>
  </si>
  <si>
    <t>交流会</t>
  </si>
  <si>
    <t>http://www.pref.kyoto.jp/kentai/news/documents/20200330-52-53-54.pdf</t>
  </si>
  <si>
    <t>26-53</t>
  </si>
  <si>
    <t>26-54</t>
  </si>
  <si>
    <t>https://www.pref.kyoto.jp/kentai/news/documents/20200329-45.pdf</t>
  </si>
  <si>
    <t>26-48</t>
  </si>
  <si>
    <t>http://www.pref.kyoto.jp/kentai/news/documents/20200330-48-49.pdf</t>
  </si>
  <si>
    <t>26-49</t>
  </si>
  <si>
    <t>26-50</t>
  </si>
  <si>
    <t>https://www.city.kyoto.lg.jp/hokenfukushi/cmsfiles/contents/0000267/267699/200330oshirase(33-34).pdf</t>
  </si>
  <si>
    <t>26-51</t>
  </si>
  <si>
    <t>26-6</t>
  </si>
  <si>
    <t>26-7</t>
  </si>
  <si>
    <t>親子</t>
  </si>
  <si>
    <t>乙訓保健所管内</t>
  </si>
  <si>
    <t>https://www.google.com/maps/place/%E4%BA%AC%E9%83%BD%E5%BA%9C%E4%B9%99%E8%A8%93%E4%BF%9D%E5%81%A5%E6%89%80/@34.9401324,135.6969653,17z/data=!3m1!4b1!4m5!3m4!1s0x6001043c10a59c71:0x9d05c3c807262cc8!8m2!3d34.940128!4d135.699154?hl=ja</t>
  </si>
  <si>
    <t>26-74</t>
  </si>
  <si>
    <t>25-14</t>
  </si>
  <si>
    <t>https://www.pref.shiga.lg.jp/kensei/koho/e-shinbun/oshirase/311156.html;
https://www.mhlw.go.jp/content/10906000/000618092.pdf</t>
  </si>
  <si>
    <t>26-8</t>
  </si>
  <si>
    <t>26-10</t>
  </si>
  <si>
    <t>中丹管内</t>
  </si>
  <si>
    <t>https://www.pref.kyoto.jp/kentai/news/documents/20200309-91011.pdf</t>
  </si>
  <si>
    <t>26-11</t>
  </si>
  <si>
    <t>http://www.pref.kyoto.jp/kentai/corona/hassei1-50.html</t>
  </si>
  <si>
    <t>26-13</t>
  </si>
  <si>
    <t>患者</t>
  </si>
  <si>
    <t>https://www.pref.kyoto.jp/kentai/news/documents/20200310-13.pdf</t>
  </si>
  <si>
    <t>26-9</t>
  </si>
  <si>
    <t>27--230</t>
  </si>
  <si>
    <t>27-322</t>
  </si>
  <si>
    <t>大阪府</t>
  </si>
  <si>
    <t>http://www.pref.osaka.lg.jp/hodo/attach/hodo-37932_4.pdf</t>
  </si>
  <si>
    <t>27-1</t>
  </si>
  <si>
    <t>29-1</t>
  </si>
  <si>
    <t>バスガイド(1/12-17)</t>
  </si>
  <si>
    <t>ツアーバス</t>
  </si>
  <si>
    <t>http://www.pref.osaka.lg.jp/hodo/index.php?site=fumin&amp;pageId=37147</t>
  </si>
  <si>
    <t>27-107</t>
  </si>
  <si>
    <t>27-108</t>
  </si>
  <si>
    <t>http://www.pref.osaka.lg.jp/hodo/attach/hodo-37747_4.pdf</t>
  </si>
  <si>
    <t>27-119</t>
  </si>
  <si>
    <t>27-122</t>
  </si>
  <si>
    <t>http://www.pref.osaka.lg.jp/hodo/attach/hodo-37808_4.pdf</t>
  </si>
  <si>
    <t>27-123</t>
  </si>
  <si>
    <t>http://www.pref.osaka.lg.jp/hodo/attach/hodo-37633_5.pdf</t>
  </si>
  <si>
    <t>27-111</t>
  </si>
  <si>
    <t>http://www.pref.osaka.lg.jp/hodo/attach/hodo-37758_4.pdf</t>
  </si>
  <si>
    <t>27-32</t>
  </si>
  <si>
    <t>ライブハウス滞在 (ライブハウス Arc (大阪市), Live House Rumio)</t>
  </si>
  <si>
    <t>http://www.pref.osaka.lg.jp/hodo/attach/hodo-37656_5.pdf</t>
  </si>
  <si>
    <t>27-34</t>
  </si>
  <si>
    <t>ライブハウス滞在 (2/18 Live House Rumio)</t>
  </si>
  <si>
    <t>LIVE HOUSE Rumio</t>
  </si>
  <si>
    <t>27-80</t>
  </si>
  <si>
    <t>http://www.pref.osaka.lg.jp/hodo/attach/hodo-37694_4.pdf</t>
  </si>
  <si>
    <t>27-126</t>
  </si>
  <si>
    <t>27-248</t>
  </si>
  <si>
    <t>http://www.pref.osaka.lg.jp/hodo/attach/hodo-37913_4.pdf</t>
  </si>
  <si>
    <t>27-276</t>
  </si>
  <si>
    <t>仕事関係</t>
  </si>
  <si>
    <t>27-128</t>
  </si>
  <si>
    <t>27-129</t>
  </si>
  <si>
    <t>http://www.pref.osaka.lg.jp/hodo/attach/hodo-37814_4.pdf</t>
  </si>
  <si>
    <t>27-130</t>
  </si>
  <si>
    <t>27-13</t>
  </si>
  <si>
    <t>27-30</t>
  </si>
  <si>
    <t>http://www.pref.osaka.lg.jp/hodo/attach/hodo-37645_5.pdf</t>
  </si>
  <si>
    <t>27-72</t>
  </si>
  <si>
    <t>http://www.pref.osaka.lg.jp/hodo/attach/hodo-37680_5.pdf</t>
  </si>
  <si>
    <t>27-133</t>
  </si>
  <si>
    <t>27-211</t>
  </si>
  <si>
    <t>医療従事者-患者</t>
  </si>
  <si>
    <t>http://www.pref.osaka.lg.jp/hodo/attach/hodo-37900_4.pdf</t>
  </si>
  <si>
    <t>27-135</t>
  </si>
  <si>
    <t>27-249</t>
  </si>
  <si>
    <t>27-250</t>
  </si>
  <si>
    <t>27-251</t>
  </si>
  <si>
    <t>27-252</t>
  </si>
  <si>
    <t>27-253</t>
  </si>
  <si>
    <t>27-254</t>
  </si>
  <si>
    <t>27-255</t>
  </si>
  <si>
    <t>27-256</t>
  </si>
  <si>
    <t>27-257</t>
  </si>
  <si>
    <t>27-258</t>
  </si>
  <si>
    <t>27-259</t>
  </si>
  <si>
    <t>27-260</t>
  </si>
  <si>
    <t>27-261</t>
  </si>
  <si>
    <t>27-262</t>
  </si>
  <si>
    <t>27-263</t>
  </si>
  <si>
    <t>27-264</t>
  </si>
  <si>
    <t>27-265</t>
  </si>
  <si>
    <t>27-139</t>
  </si>
  <si>
    <t>27-197</t>
  </si>
  <si>
    <t>http://www.pref.osaka.lg.jp/hodo/attach/hodo-37890_4.pdf</t>
  </si>
  <si>
    <t>27-143</t>
  </si>
  <si>
    <t>27-206</t>
  </si>
  <si>
    <t>27-225</t>
  </si>
  <si>
    <t>http://www.pref.osaka.lg.jp/hodo/attach/hodo-37902_4.pdf</t>
  </si>
  <si>
    <t>27-279</t>
  </si>
  <si>
    <t>http://www.pref.osaka.lg.jp/hodo/attach/hodo-37907_4.pdf</t>
  </si>
  <si>
    <t>27-24</t>
  </si>
  <si>
    <t>27-67</t>
  </si>
  <si>
    <t>27-73</t>
  </si>
  <si>
    <t>27-150</t>
  </si>
  <si>
    <t>27-151</t>
  </si>
  <si>
    <t>27-196</t>
  </si>
  <si>
    <t>27-200</t>
  </si>
  <si>
    <t>27-213</t>
  </si>
  <si>
    <t>27-227</t>
  </si>
  <si>
    <t>27-228</t>
  </si>
  <si>
    <t>27-229</t>
  </si>
  <si>
    <t>27-154</t>
  </si>
  <si>
    <t>27-247</t>
  </si>
  <si>
    <t>27-160</t>
  </si>
  <si>
    <t>27-316</t>
  </si>
  <si>
    <t>27-161</t>
  </si>
  <si>
    <t>27-287</t>
  </si>
  <si>
    <t>27-162</t>
  </si>
  <si>
    <t>27-280</t>
  </si>
  <si>
    <t>27-262を受診した医療従事者</t>
  </si>
  <si>
    <t>27-163</t>
  </si>
  <si>
    <t>27-192</t>
  </si>
  <si>
    <t>27-193</t>
  </si>
  <si>
    <t>27-164</t>
  </si>
  <si>
    <t>27-231</t>
  </si>
  <si>
    <t>27-232</t>
  </si>
  <si>
    <t>27-166</t>
  </si>
  <si>
    <t>27-266</t>
  </si>
  <si>
    <t>27-286</t>
  </si>
  <si>
    <t>27-167</t>
  </si>
  <si>
    <t>27-194</t>
  </si>
  <si>
    <t>27-226</t>
  </si>
  <si>
    <t>27-168</t>
  </si>
  <si>
    <t>27-195</t>
  </si>
  <si>
    <t>27-329</t>
  </si>
  <si>
    <t>27-170</t>
  </si>
  <si>
    <t>27-202</t>
  </si>
  <si>
    <t>茨木市</t>
  </si>
  <si>
    <t>27-237</t>
  </si>
  <si>
    <t>27-177</t>
  </si>
  <si>
    <t>27-209</t>
  </si>
  <si>
    <t>27-210</t>
  </si>
  <si>
    <t>27-187</t>
  </si>
  <si>
    <t>27-189</t>
  </si>
  <si>
    <t>27-340</t>
  </si>
  <si>
    <t>27-19</t>
  </si>
  <si>
    <t>27-118</t>
  </si>
  <si>
    <t>http://www.pref.osaka.lg.jp/hodo/attach/hodo-37802_4.pdf</t>
  </si>
  <si>
    <t>27-44</t>
  </si>
  <si>
    <t>http://www.pref.osaka.lg.jp/hodo/attach/hodo-37659_5.pdf</t>
  </si>
  <si>
    <t>27-191</t>
  </si>
  <si>
    <t>27-216</t>
  </si>
  <si>
    <t>27-319</t>
  </si>
  <si>
    <t>27-198</t>
  </si>
  <si>
    <t>12-45</t>
  </si>
  <si>
    <t>29-6</t>
  </si>
  <si>
    <t>27-2</t>
  </si>
  <si>
    <t>1-39</t>
  </si>
  <si>
    <t>共に行動(2/15-17)</t>
  </si>
  <si>
    <t>http://www.pref.osaka.lg.jp/hodo/index.php?site=fumin&amp;pageId=37548</t>
  </si>
  <si>
    <t>27-10</t>
  </si>
  <si>
    <t>ライブハウス滞在 (2/15 ライブハウス Arc (大阪市))</t>
  </si>
  <si>
    <t>ライブハウス滞在 (2/16 大阪京橋ライブハウスArc)</t>
  </si>
  <si>
    <t>27-18</t>
  </si>
  <si>
    <t>http://www.pref.osaka.lg.jp/hodo/attach/hodo-37643_4.pdf</t>
  </si>
  <si>
    <t>ライブハウス滞在者の同居家族 (ライブハウス Arc (大阪市))</t>
  </si>
  <si>
    <t>27-27</t>
  </si>
  <si>
    <t>27-3</t>
  </si>
  <si>
    <t>http://www.pref.osaka.lg.jp/hodo/index.php?site=fumin&amp;pageId=37564</t>
  </si>
  <si>
    <t>ライブハウス滞在 (2/15,16 ライブハウス Arc (大阪市))</t>
  </si>
  <si>
    <t>27-33</t>
  </si>
  <si>
    <t>27-35</t>
  </si>
  <si>
    <t>27-4</t>
  </si>
  <si>
    <t>27-58</t>
  </si>
  <si>
    <t>27-6</t>
  </si>
  <si>
    <t>ライブハウス滞在 (2/16 ライブハウス Arc (大阪市))</t>
  </si>
  <si>
    <t>http://www.pref.osaka.lg.jp/hodo/index.php?site=fumin&amp;pageId=37593</t>
  </si>
  <si>
    <t>27-8</t>
  </si>
  <si>
    <t>http://www.pref.osaka.lg.jp/hodo/index.php?site=fumin&amp;pageId=37614</t>
  </si>
  <si>
    <t>27-9</t>
  </si>
  <si>
    <t>https://www.pref.kochi.lg.jp/soshiki/130401/files/2020022900049/case1-2.pdf</t>
  </si>
  <si>
    <t>27-20</t>
  </si>
  <si>
    <t>27-203</t>
  </si>
  <si>
    <t>27-204</t>
  </si>
  <si>
    <t>門真市</t>
  </si>
  <si>
    <t>27-215</t>
  </si>
  <si>
    <t>27-205</t>
  </si>
  <si>
    <t>27-345</t>
  </si>
  <si>
    <t>27-21</t>
  </si>
  <si>
    <t>27-74</t>
  </si>
  <si>
    <t>濃厚接触者</t>
  </si>
  <si>
    <t>27-217</t>
  </si>
  <si>
    <t>27-291</t>
  </si>
  <si>
    <t>27-218</t>
  </si>
  <si>
    <t>27-294</t>
  </si>
  <si>
    <t>27-219</t>
  </si>
  <si>
    <t>27-220</t>
  </si>
  <si>
    <t>27-22</t>
  </si>
  <si>
    <t>27-222</t>
  </si>
  <si>
    <t>京都産業大学</t>
  </si>
  <si>
    <t>27-223</t>
  </si>
  <si>
    <t>27-224</t>
  </si>
  <si>
    <t>27-330</t>
  </si>
  <si>
    <t>27-23</t>
  </si>
  <si>
    <t>27-230</t>
  </si>
  <si>
    <t>教育関係者</t>
  </si>
  <si>
    <t>27-314</t>
  </si>
  <si>
    <t>27-447</t>
  </si>
  <si>
    <t>http://www.pref.osaka.lg.jp/hodo/attach/hodo-37955_4.pdf</t>
  </si>
  <si>
    <t>27-235</t>
  </si>
  <si>
    <t>27-236</t>
  </si>
  <si>
    <t>27-297</t>
  </si>
  <si>
    <t>27-238</t>
  </si>
  <si>
    <t>27-295</t>
  </si>
  <si>
    <t>沖縄の陽性者と濃厚接触</t>
  </si>
  <si>
    <t>27-25</t>
  </si>
  <si>
    <t>27-240</t>
  </si>
  <si>
    <t>27-241</t>
  </si>
  <si>
    <t>27-242</t>
  </si>
  <si>
    <t>27-298</t>
  </si>
  <si>
    <t>27-338</t>
  </si>
  <si>
    <t>27-244</t>
  </si>
  <si>
    <t>27-246</t>
  </si>
  <si>
    <t>27-437</t>
  </si>
  <si>
    <t>27-438</t>
  </si>
  <si>
    <t>27-449</t>
  </si>
  <si>
    <t>27-26</t>
  </si>
  <si>
    <t>27-271</t>
  </si>
  <si>
    <t>27-288</t>
  </si>
  <si>
    <t>27-272</t>
  </si>
  <si>
    <t>27-273</t>
  </si>
  <si>
    <t>27-443</t>
  </si>
  <si>
    <t>27-444</t>
  </si>
  <si>
    <t>27-28</t>
  </si>
  <si>
    <t>27-281</t>
  </si>
  <si>
    <t>27-372</t>
  </si>
  <si>
    <t>http://www.pref.osaka.lg.jp/hodo/attach/hodo-37934_4.pdf</t>
  </si>
  <si>
    <t>27-29</t>
  </si>
  <si>
    <t>27-290</t>
  </si>
  <si>
    <t>27-357</t>
  </si>
  <si>
    <t>27-292</t>
  </si>
  <si>
    <t>27-416</t>
  </si>
  <si>
    <t>http://www.pref.osaka.lg.jp/hodo/attach/hodo-37949_4.pdf</t>
  </si>
  <si>
    <t>27-299</t>
  </si>
  <si>
    <t>27-342</t>
  </si>
  <si>
    <t>27-11</t>
  </si>
  <si>
    <t>同じ勤務先の職員</t>
  </si>
  <si>
    <t>東大阪市の医療機関</t>
  </si>
  <si>
    <t>27-300</t>
  </si>
  <si>
    <t>27-380</t>
  </si>
  <si>
    <t>27-302</t>
  </si>
  <si>
    <t>27-381</t>
  </si>
  <si>
    <t>28-161</t>
  </si>
  <si>
    <t>27-308</t>
  </si>
  <si>
    <t>27-386</t>
  </si>
  <si>
    <t>27-311</t>
  </si>
  <si>
    <t>27-368</t>
  </si>
  <si>
    <t>27-375</t>
  </si>
  <si>
    <t>27-398</t>
  </si>
  <si>
    <t>地域活動関係</t>
  </si>
  <si>
    <t>http://www.pref.osaka.lg.jp/hodo/attach/hodo-37938_4.pdf</t>
  </si>
  <si>
    <t>27-399</t>
  </si>
  <si>
    <t>27-400</t>
  </si>
  <si>
    <t>27-401</t>
  </si>
  <si>
    <t>27-402</t>
  </si>
  <si>
    <t>27-470</t>
  </si>
  <si>
    <t>27-312</t>
  </si>
  <si>
    <t>27-442</t>
  </si>
  <si>
    <t>27-321</t>
  </si>
  <si>
    <t>27-331</t>
  </si>
  <si>
    <t>27-391</t>
  </si>
  <si>
    <t>27-337</t>
  </si>
  <si>
    <t>陽性者（兵庫県にて判明）の濃厚接触者</t>
  </si>
  <si>
    <t>27-343</t>
  </si>
  <si>
    <t>27-415</t>
  </si>
  <si>
    <t>27-61</t>
  </si>
  <si>
    <t>27-83</t>
  </si>
  <si>
    <t>27-350</t>
  </si>
  <si>
    <t>27-452</t>
  </si>
  <si>
    <t>27-36</t>
  </si>
  <si>
    <t>27-363</t>
  </si>
  <si>
    <t>27-395</t>
  </si>
  <si>
    <t>27-369</t>
  </si>
  <si>
    <t>27-370</t>
  </si>
  <si>
    <t>27-419</t>
  </si>
  <si>
    <t>27-37</t>
  </si>
  <si>
    <t>27-38</t>
  </si>
  <si>
    <t>27-383</t>
  </si>
  <si>
    <t>27-417</t>
  </si>
  <si>
    <t>27-39</t>
  </si>
  <si>
    <t>27-397</t>
  </si>
  <si>
    <t>27-455</t>
  </si>
  <si>
    <t>27-40</t>
  </si>
  <si>
    <t>27-414</t>
  </si>
  <si>
    <t>27-406</t>
  </si>
  <si>
    <t>他府県の陽性者と接触あり</t>
  </si>
  <si>
    <t>27-41</t>
  </si>
  <si>
    <t>27-76</t>
  </si>
  <si>
    <t>接触有</t>
  </si>
  <si>
    <t>27-90</t>
  </si>
  <si>
    <t>http://www.pref.osaka.lg.jp/hodo/attach/hodo-37729_4.pdf</t>
  </si>
  <si>
    <t>27-410</t>
  </si>
  <si>
    <t>27-436</t>
  </si>
  <si>
    <t>27-42</t>
  </si>
  <si>
    <t>27-423</t>
  </si>
  <si>
    <t>24-341</t>
  </si>
  <si>
    <t>27-431</t>
  </si>
  <si>
    <t>27-432</t>
  </si>
  <si>
    <t>27-52</t>
  </si>
  <si>
    <t>27-45</t>
  </si>
  <si>
    <t>27-46</t>
  </si>
  <si>
    <t>27-77</t>
  </si>
  <si>
    <t>27-89</t>
  </si>
  <si>
    <t>https://www.mhlw.go.jp/content/10906000/000607874.pdf</t>
  </si>
  <si>
    <t>27-460</t>
  </si>
  <si>
    <t>兵庫判明事例</t>
  </si>
  <si>
    <t>27-465</t>
  </si>
  <si>
    <t>27-466</t>
  </si>
  <si>
    <t>27-47</t>
  </si>
  <si>
    <t>27-60</t>
  </si>
  <si>
    <t>27-79</t>
  </si>
  <si>
    <t>27-48</t>
  </si>
  <si>
    <t>27-49</t>
  </si>
  <si>
    <t>27-5</t>
  </si>
  <si>
    <t>接触(2/18)</t>
  </si>
  <si>
    <t>接触(2/21)、ライブハウス滞在(2/23 Live House Rumio)</t>
  </si>
  <si>
    <t>ライブハウスSoap opera classics -Umeda</t>
  </si>
  <si>
    <t>ライブハウス滞在 (2/19,23 Soap opera classics -Umeda)</t>
  </si>
  <si>
    <t>ライブハウス滞在 (2/23 Soap opera classics -Umeda)</t>
  </si>
  <si>
    <t>ライブハウス滞在 (2/19 Soap opera classics -Umeda、americamura FANJ twice)</t>
  </si>
  <si>
    <t>ライブハウス滞在 (2/19 Soap opera classics -Umeda)</t>
  </si>
  <si>
    <t>27-31</t>
  </si>
  <si>
    <t>ライブハウス滞在者と接触 (Soap opera classics -Umeda)</t>
  </si>
  <si>
    <t>ライブハウス滞在 (Soap opera classics -Umeda)</t>
  </si>
  <si>
    <t xml:space="preserve"> </t>
  </si>
  <si>
    <t>ライブハウス滞在 (2/24 Soap opera classics -Umeda)</t>
  </si>
  <si>
    <t>接触(2/22)</t>
  </si>
  <si>
    <t>27-62</t>
  </si>
  <si>
    <t>27-63</t>
  </si>
  <si>
    <t>27-64</t>
  </si>
  <si>
    <t>27-50</t>
  </si>
  <si>
    <t>27-53</t>
  </si>
  <si>
    <t>27-55</t>
  </si>
  <si>
    <t>27-65</t>
  </si>
  <si>
    <t>27-57</t>
  </si>
  <si>
    <t>27-104</t>
  </si>
  <si>
    <t>http://www.pref.osaka.lg.jp/hodo/attach/hodo-37735_4.pdf; http://www.pref.osaka.lg.jp/hodo/attach/hodo-37747_4.pdf</t>
  </si>
  <si>
    <t>27-59</t>
  </si>
  <si>
    <t>27-81</t>
  </si>
  <si>
    <t>27-110</t>
  </si>
  <si>
    <t>27-85</t>
  </si>
  <si>
    <t>27-86</t>
  </si>
  <si>
    <t>27-7</t>
  </si>
  <si>
    <t>27-14</t>
  </si>
  <si>
    <t>家族(妻)</t>
  </si>
  <si>
    <t>27-100</t>
  </si>
  <si>
    <t>http://www.pref.osaka.lg.jp/hodo/attach/hodo-37733_4.pdf; http://www.pref.osaka.lg.jp/hodo/attach/hodo-37735_4.pdf</t>
  </si>
  <si>
    <t>27-87</t>
  </si>
  <si>
    <t>27-88</t>
  </si>
  <si>
    <t>27-96</t>
  </si>
  <si>
    <t>http://www.pref.osaka.lg.jp/hodo/attach/hodo-37733_4.pdf</t>
  </si>
  <si>
    <t>42-1</t>
  </si>
  <si>
    <t>イベントスペースで面会(2/21)</t>
  </si>
  <si>
    <t>神戸市のイベントスペース</t>
  </si>
  <si>
    <t>https://www.mhlw.go.jp/content/10906000/000607874.pdf;  http://www.pref.osaka.lg.jp/hodo/attach/hodo-37733_4.pdf</t>
  </si>
  <si>
    <t>27-103</t>
  </si>
  <si>
    <t>接触有(3/4)</t>
  </si>
  <si>
    <t>http://www.pref.osaka.lg.jp/hodo/attach/hodo-37735_4.pdf</t>
  </si>
  <si>
    <t>27-109</t>
  </si>
  <si>
    <t>27-91</t>
  </si>
  <si>
    <t>27-113</t>
  </si>
  <si>
    <t>http://www.pref.osaka.lg.jp/hodo/attach/hodo-37779_4.pdf</t>
  </si>
  <si>
    <t>27-95</t>
  </si>
  <si>
    <t>27-106</t>
  </si>
  <si>
    <t>27-98</t>
  </si>
  <si>
    <t>27-112</t>
  </si>
  <si>
    <t>28-10</t>
  </si>
  <si>
    <t>28-100</t>
  </si>
  <si>
    <t>施設利用者</t>
  </si>
  <si>
    <t>兵庫県</t>
  </si>
  <si>
    <t>介護老人保健施設グリーンアルス伊丹デイケア</t>
  </si>
  <si>
    <t>https://web.pref.hyogo.lg.jp/kk03/corona_hasseijyokyo53-100.html</t>
  </si>
  <si>
    <t>28-106</t>
  </si>
  <si>
    <t>https://web.pref.hyogo.lg.jp/kk03/corona_hasseijyokyo.html#corona_hasseijyokyo106</t>
  </si>
  <si>
    <t>28-107</t>
  </si>
  <si>
    <t>https://web.pref.hyogo.lg.jp/kk03/corona_hasseijyokyo.html#corona_hasseijyokyo107</t>
  </si>
  <si>
    <t>28-110</t>
  </si>
  <si>
    <t>https://web.pref.hyogo.lg.jp/kk03/corona_hasseijyokyo.html#corona_hasseijyokyo110</t>
  </si>
  <si>
    <t>28-111</t>
  </si>
  <si>
    <t>https://web.pref.hyogo.lg.jp/kk03/corona_hasseijyokyo.html#corona_hasseijyokyo111</t>
  </si>
  <si>
    <t>28-116</t>
  </si>
  <si>
    <t>https://web.pref.hyogo.lg.jp/kk03/corona_hasseijyokyo.html#corona_hasseijyokyo116</t>
  </si>
  <si>
    <t>28-12</t>
  </si>
  <si>
    <t>https://web.pref.hyogo.lg.jp/kk03/corona_hasseijyokyo.html;https://www.nishi.or.jp/kurashi/anshin/infomation/k_00022020111.files/HP4-2.pdf;http://www.ryokushinkai.jp/</t>
  </si>
  <si>
    <t>28-19</t>
  </si>
  <si>
    <t>スタッフと利用者</t>
  </si>
  <si>
    <t>https://web.pref.hyogo.lg.jp/kk03/corona_hasseijyokyo.html;https://www.city.amagasaki.hyogo.jp/kurashi/kenko/kansensyo/1020449/1020423.html</t>
  </si>
  <si>
    <t>28-20</t>
  </si>
  <si>
    <t>https://web.pref.hyogo.lg.jp/kk03/corona_hasseijyokyo.html;https://www.city.amagasaki.hyogo.jp/kurashi/kenko/kansensyo/1020449/1020424.html</t>
  </si>
  <si>
    <t>28-21</t>
  </si>
  <si>
    <t>https://web.pref.hyogo.lg.jp/kk03/corona_hasseijyokyo.html;https://www.nishi.or.jp/kurashi/anshin/infomation/k_00022020111.files/HP5-2.pdf</t>
  </si>
  <si>
    <t>28-22</t>
  </si>
  <si>
    <t>https://web.pref.hyogo.lg.jp/kk03/corona_hasseijyokyo.html</t>
  </si>
  <si>
    <t>28-27</t>
  </si>
  <si>
    <t>28-28</t>
  </si>
  <si>
    <t>28-43</t>
  </si>
  <si>
    <t>28-44</t>
  </si>
  <si>
    <t>28-54</t>
  </si>
  <si>
    <t>28-57</t>
  </si>
  <si>
    <t>https://web.pref.hyogo.lg.jp/kk03/corona_hasseijyokyo.html;https://www.city.amagasaki.hyogo.jp/kurashi/kenko/kansensyo/1020449/1020430.html</t>
  </si>
  <si>
    <t>28-58</t>
  </si>
  <si>
    <t>28-59</t>
  </si>
  <si>
    <t>28-60</t>
  </si>
  <si>
    <t>28-61</t>
  </si>
  <si>
    <t>28-62</t>
  </si>
  <si>
    <t>28-63</t>
  </si>
  <si>
    <t>28-72</t>
  </si>
  <si>
    <t>28-73</t>
  </si>
  <si>
    <t>28-74</t>
  </si>
  <si>
    <t>28-86</t>
  </si>
  <si>
    <t>https://web.pref.hyogo.lg.jp/kk03/documents/0318corona_kanjya.pdf</t>
  </si>
  <si>
    <t>28-87</t>
  </si>
  <si>
    <t>28-88</t>
  </si>
  <si>
    <t>28-93</t>
  </si>
  <si>
    <t>28-96</t>
  </si>
  <si>
    <t>28-98</t>
  </si>
  <si>
    <t>28-99</t>
  </si>
  <si>
    <t>28-101</t>
  </si>
  <si>
    <t>11-41</t>
  </si>
  <si>
    <t>同じ大学の学生</t>
  </si>
  <si>
    <t>イギリスの大学</t>
  </si>
  <si>
    <t>https://www.city.amagasaki.hyogo.jp/kurashi/kenko/kansensyo/1020449/1020474.html</t>
  </si>
  <si>
    <t>28-11</t>
  </si>
  <si>
    <t>28-108</t>
  </si>
  <si>
    <t>仁恵病院</t>
  </si>
  <si>
    <t>https://www.city.himeji.lg.jp/emergencyinfo/cmsfiles/emergency/179/200322hp.pdf;https://web.pref.hyogo.lg.jp/kk03/corona_kanjyajyokyo.html</t>
  </si>
  <si>
    <t>28-15</t>
  </si>
  <si>
    <r>
      <t xml:space="preserve">https://web.pref.hyogo.lg.jp/kk03/corona_hasseijyokyo.html; </t>
    </r>
    <r>
      <rPr>
        <color rgb="FF000000"/>
      </rPr>
      <t>https://www.city.himeji.lg.jp/emergencyinfo/cmsfiles/emergency/179/200308.pdf</t>
    </r>
  </si>
  <si>
    <t>28-17</t>
  </si>
  <si>
    <t>同僚看護師</t>
  </si>
  <si>
    <r>
      <t xml:space="preserve">https://web.pref.hyogo.lg.jp/kk03/corona_hasseijyokyo.html; </t>
    </r>
    <r>
      <rPr>
        <color rgb="FF000000"/>
      </rPr>
      <t>https://www.city.himeji.lg.jp/emergencyinfo/cmsfiles/emergency/179/200308.pdf</t>
    </r>
  </si>
  <si>
    <t>28-18</t>
  </si>
  <si>
    <t>https://web.pref.hyogo.lg.jp/kk03/corona_hasseijyokyo.html; https://www.city.himeji.lg.jp/emergencyinfo/cmsfiles/emergency/179/200310.pdf</t>
  </si>
  <si>
    <t>28-26</t>
  </si>
  <si>
    <t>https://web.pref.hyogo.lg.jp/kk03/corona_hasseijyokyo.html; https://www.city.himeji.lg.jp/emergencyinfo/cmsfiles/emergency/179/200311No6.pdf</t>
  </si>
  <si>
    <t>28-37</t>
  </si>
  <si>
    <t>https://web.pref.hyogo.lg.jp/kk03/corona_hasseijyokyo.html;https://www.city.himeji.lg.jp/emergencyinfo/cmsfiles/emergency/179/200312No7.pdf</t>
  </si>
  <si>
    <t>28-38</t>
  </si>
  <si>
    <t>28-39</t>
  </si>
  <si>
    <t>28-40</t>
  </si>
  <si>
    <t>28-41</t>
  </si>
  <si>
    <t>https://web.pref.hyogo.lg.jp/kk03/corona_hasseijyokyo.html;https://www.city.himeji.lg.jp/emergencyinfo/cmsfiles/emergency/179/2003128-11.pdf</t>
  </si>
  <si>
    <t>28-92</t>
  </si>
  <si>
    <t>https://www.city.himeji.lg.jp/emergencyinfo/cmsfiles/emergency/179/200319.pdf</t>
  </si>
  <si>
    <t>28-94</t>
  </si>
  <si>
    <t>https://www.city.himeji.lg.jp/emergencyinfo/cmsfiles/emergency/179/200320HP.pdf</t>
  </si>
  <si>
    <t>28-95</t>
  </si>
  <si>
    <t>28-75</t>
  </si>
  <si>
    <t>28-13</t>
  </si>
  <si>
    <r>
      <t xml:space="preserve">https://web.pref.hyogo.lg.jp/kk03/corona_hasseijyokyo.html; </t>
    </r>
    <r>
      <rPr>
        <color rgb="FF000000"/>
      </rPr>
      <t>https://www.city.kobe.lg.jp/a57337/kenko/health/corona3reime3hou.html</t>
    </r>
  </si>
  <si>
    <t>28-14</t>
  </si>
  <si>
    <t>28-157</t>
  </si>
  <si>
    <t>25-10</t>
  </si>
  <si>
    <t>伊丹健康福祉事務所管内</t>
  </si>
  <si>
    <t>https://www.pref.shiga.lg.jp/kensei/koho/e-shinbun/oshirase/311156.html;
https://web.pref.hyogo.lg.jp/kk03/corona_hasseijyokyo.html</t>
  </si>
  <si>
    <t>25-11</t>
  </si>
  <si>
    <t>25-12</t>
  </si>
  <si>
    <t>25-15</t>
  </si>
  <si>
    <t>25-9</t>
  </si>
  <si>
    <t>28-16</t>
  </si>
  <si>
    <t>28-30</t>
  </si>
  <si>
    <t>保育園園長と勤務者</t>
  </si>
  <si>
    <t>聖ニコラス天使園</t>
  </si>
  <si>
    <t>https://www.jiji.com/jc/article?k=2020031100489&amp;g=soc</t>
  </si>
  <si>
    <t>28-34</t>
  </si>
  <si>
    <t>28-35</t>
  </si>
  <si>
    <t>28-36</t>
  </si>
  <si>
    <t>28-45</t>
  </si>
  <si>
    <t>28-171</t>
  </si>
  <si>
    <t>https://www.city.amagasaki.hyogo.jp/_res/projects/default_project/_page_/001/020/595/20200403-2.pdf</t>
  </si>
  <si>
    <t>28-33</t>
  </si>
  <si>
    <t>尼崎市</t>
  </si>
  <si>
    <t>"https://web.pref.hyogo.lg.jp/kk03/corona_hasseijyokyo.html;https://www.city.amagasaki.hyogo.jp/kurashi/kenko/kansensyo/1020449/1020425.html"</t>
  </si>
  <si>
    <t>28-117</t>
  </si>
  <si>
    <t>医師と患者</t>
  </si>
  <si>
    <t>医療機関</t>
  </si>
  <si>
    <t>https://www.nishi.or.jp/kurashi/anshin/infomation/k_00022020111.files/HP7-1.pdf</t>
  </si>
  <si>
    <t>28-120</t>
  </si>
  <si>
    <t>28-89</t>
  </si>
  <si>
    <t>28-23</t>
  </si>
  <si>
    <t>28-32</t>
  </si>
  <si>
    <t>同僚医師</t>
  </si>
  <si>
    <t>北播磨総合医療センター</t>
  </si>
  <si>
    <t>28-55</t>
  </si>
  <si>
    <t>同僚医師と看護師</t>
  </si>
  <si>
    <t>28-80</t>
  </si>
  <si>
    <t>28-81</t>
  </si>
  <si>
    <t>https://web.pref.hyogo.lg.jp/kk03/corona_hasseijyokyo.html;https://web.pref.hyogo.lg.jp/kk03/corona_kanjyajyokyo.html</t>
  </si>
  <si>
    <t>28-24</t>
  </si>
  <si>
    <t>https://www.city.kobe.lg.jp/a57337/kenko/health/corona5reime.html</t>
  </si>
  <si>
    <t>28-119</t>
  </si>
  <si>
    <t>病院職員と患者</t>
  </si>
  <si>
    <t>宝塚第一病院</t>
  </si>
  <si>
    <t>https://web.pref.hyogo.lg.jp/kk03/corona_hasseijyokyo.html#corona_hasseijyokyo119</t>
  </si>
  <si>
    <t>28-64</t>
  </si>
  <si>
    <t>入院同室者</t>
  </si>
  <si>
    <t>28-70</t>
  </si>
  <si>
    <t>病院スタッフと患者</t>
  </si>
  <si>
    <t>https://www.city.kobe.lg.jp/a73576/coronavirus17_20.html</t>
  </si>
  <si>
    <t>28-71</t>
  </si>
  <si>
    <t>28-77</t>
  </si>
  <si>
    <t>同病院患者</t>
  </si>
  <si>
    <t>28-78</t>
  </si>
  <si>
    <t>28-53</t>
  </si>
  <si>
    <t>28-90</t>
  </si>
  <si>
    <t>28-29</t>
  </si>
  <si>
    <t>同施設利用者と主たる介護者</t>
  </si>
  <si>
    <t>28-3</t>
  </si>
  <si>
    <r>
      <t xml:space="preserve">https://web.pref.hyogo.lg.jp/kk03/corona_hasseijyokyo.html; </t>
    </r>
    <r>
      <rPr>
        <color rgb="FF000000"/>
      </rPr>
      <t>https://www.city.kobe.lg.jp/a57337/kenko/health/korona2reime.html</t>
    </r>
  </si>
  <si>
    <t>28-31</t>
  </si>
  <si>
    <t>保育園勤務者と親</t>
  </si>
  <si>
    <t>28-65</t>
  </si>
  <si>
    <t>28-4</t>
  </si>
  <si>
    <t>28-48</t>
  </si>
  <si>
    <t>https://web.pref.hyogo.lg.jp/kk03/corona_hasseijyokyo.html;https://www.city.kobe.lg.jp/a73576/coronavirus11_16.html</t>
  </si>
  <si>
    <t>28-49</t>
  </si>
  <si>
    <t>神戸市</t>
  </si>
  <si>
    <t>28-50</t>
  </si>
  <si>
    <t>神戸市内の介護保険通所事業所</t>
  </si>
  <si>
    <t>https://web.pref.hyogo.lg.jp/kk03/corona_hasseijyokyo.html;https://www.city.kobe.lg.jp/a73576/coronavirus11_16.html;https://web.pref.hyogo.lg.jp/kk03/corona_kanjyajyokyo.html</t>
  </si>
  <si>
    <t>28-69</t>
  </si>
  <si>
    <t>https://web.pref.hyogo.lg.jp/kk03/corona_hasseijyokyo.html;https://www.city.kobe.lg.jp/a57337/kenko/health/corona_kaigotusho.html</t>
  </si>
  <si>
    <t>28-5</t>
  </si>
  <si>
    <t>https://www.city.himeji.lg.jp/emergencyinfo/cmsfiles/emergency/179/200306siryou.pdf</t>
  </si>
  <si>
    <t>28-52</t>
  </si>
  <si>
    <t>28-83</t>
  </si>
  <si>
    <t>https://web.pref.hyogo.lg.jp/kk03/documents/0318corona_kanjya.pdf;https://www.city.kobe.lg.jp/a57337/kenko/health/corona_tsushokaigo2.html</t>
  </si>
  <si>
    <t>28-84</t>
  </si>
  <si>
    <t>施設利用者と勤務者</t>
  </si>
  <si>
    <t>28-6</t>
  </si>
  <si>
    <t>https://web.pref.hyogo.lg.jp/kk03/corona_hasseijyokyo.html; https://www.nishi.or.jp/kurashi/anshin/infomation/k_00022020111.files/HP2-2.pdf</t>
  </si>
  <si>
    <t>28-113</t>
  </si>
  <si>
    <t>https://web.pref.hyogo.lg.jp/kk03/corona_hasseijyokyo.html#corona_hasseijyokyo113</t>
  </si>
  <si>
    <t>28-7</t>
  </si>
  <si>
    <t>28-9</t>
  </si>
  <si>
    <t>https://web.pref.hyogo.lg.jp/kk03/corona_hasseijyokyo.html; https://www.nishi.or.jp/kurashi/anshin/infomation/k_00022020111.files/HP3-2.pdf</t>
  </si>
  <si>
    <t>28-76</t>
  </si>
  <si>
    <t>伊丹市</t>
  </si>
  <si>
    <r>
      <t>https://web.pref.hyogo.lg.jp/kk03/corona_hasseijyokyo.html;</t>
    </r>
    <r>
      <rPr>
        <color rgb="FF000000"/>
      </rPr>
      <t>https://web.pref.hyogo.lg.jp/kk03/corona_kanjyajyokyo.html</t>
    </r>
  </si>
  <si>
    <t>28-8</t>
  </si>
  <si>
    <t>ライブハウス滞在 (2/19 americamura FANJ twice)</t>
  </si>
  <si>
    <t>americamura FANJ twice</t>
  </si>
  <si>
    <t>28-82</t>
  </si>
  <si>
    <t>28-70または28-71</t>
  </si>
  <si>
    <t>https://web.pref.hyogo.lg.jp/kk03/corona_hasseijyokyo.html;https://www.takarazuka-daiichi-hp.or.jp/datet/patient/20200328.html</t>
  </si>
  <si>
    <t>28-109</t>
  </si>
  <si>
    <t>https://web.pref.hyogo.lg.jp/kk03/corona_hasseijyokyo.html#corona_hasseijyokyo109</t>
  </si>
  <si>
    <t>28-112</t>
  </si>
  <si>
    <t>https://web.pref.hyogo.lg.jp/kk03/corona_hasseijyokyo.html#corona_hasseijyokyo112</t>
  </si>
  <si>
    <t>28-97</t>
  </si>
  <si>
    <t>https://web.pref.hyogo.lg.jp/kk03/corona_hasseijyokyo53-100.html;https://web.pref.hyogo.lg.jp/kk03/corona_kanjyajyokyo.html</t>
  </si>
  <si>
    <t>29-5</t>
  </si>
  <si>
    <t>奈良県</t>
  </si>
  <si>
    <t>郡山保健所管内</t>
  </si>
  <si>
    <t>http://www.pref.nara.jp/secure/224459/0309korona.pdf</t>
  </si>
  <si>
    <t>30-1</t>
  </si>
  <si>
    <t>30-2</t>
  </si>
  <si>
    <t>和歌山県</t>
  </si>
  <si>
    <t>済生会有田病院</t>
  </si>
  <si>
    <t>https://www.pref.wakayama.lg.jp/prefg/041200/d00203387.html</t>
  </si>
  <si>
    <t>30-3</t>
  </si>
  <si>
    <t>医師の同僚</t>
  </si>
  <si>
    <t>30-5</t>
  </si>
  <si>
    <t>30-18</t>
  </si>
  <si>
    <t>36-3</t>
  </si>
  <si>
    <t>https://www.pref.tokushima.lg.jp/file/attachment/552068.pdf</t>
  </si>
  <si>
    <t>https://www.pref.wakayama.lg.jp/prefg/000200/covid19.html#01;https://www.pref.wakayama.lg.jp/prefg/000200/covid19_d/fil/20200330press.pdf</t>
  </si>
  <si>
    <t>30-12</t>
  </si>
  <si>
    <t>子</t>
  </si>
  <si>
    <t>30-4</t>
  </si>
  <si>
    <t>30-13</t>
  </si>
  <si>
    <t>30-6</t>
  </si>
  <si>
    <t>30-7</t>
  </si>
  <si>
    <t>30-8</t>
  </si>
  <si>
    <t>弟</t>
  </si>
  <si>
    <t>33-10</t>
  </si>
  <si>
    <t>33-12</t>
  </si>
  <si>
    <t>岡山県</t>
  </si>
  <si>
    <t>岡山市</t>
  </si>
  <si>
    <t>http://www.city.okayama.jp/contents/000406972.pdf</t>
  </si>
  <si>
    <t>33-4</t>
  </si>
  <si>
    <t>感染が確認された京都産業大の学生2名</t>
  </si>
  <si>
    <t>京都産業大学生</t>
  </si>
  <si>
    <t>https://www.pref.okayama.jp/uploaded/attachment/269351.pdf;http://medica.sanyonews.jp/article/13372</t>
  </si>
  <si>
    <t>33-5</t>
  </si>
  <si>
    <t>33-6</t>
  </si>
  <si>
    <t>早島町</t>
  </si>
  <si>
    <t>https://www.pref.okayama.jp/uploaded/attachment/269634.pdf</t>
  </si>
  <si>
    <t>33-7</t>
  </si>
  <si>
    <t>34-2</t>
  </si>
  <si>
    <t>34-3</t>
  </si>
  <si>
    <t>広島県</t>
  </si>
  <si>
    <t>尾道市</t>
  </si>
  <si>
    <t>https://www.pref.hiroshima.lg.jp/uploaded/attachment/384026.pdf</t>
  </si>
  <si>
    <t>34-5</t>
  </si>
  <si>
    <t>34-10</t>
  </si>
  <si>
    <t>https://www.city.hiroshima.lg.jp/uploaded/attachment/112017.pdf</t>
  </si>
  <si>
    <t>35-1</t>
  </si>
  <si>
    <t>35-2</t>
  </si>
  <si>
    <t>山口県</t>
  </si>
  <si>
    <t>下関市</t>
  </si>
  <si>
    <t>http://www.city.shimonoseki.lg.jp/www/contents/1583381707607/index.html</t>
  </si>
  <si>
    <t>35-3</t>
  </si>
  <si>
    <t>35-5</t>
  </si>
  <si>
    <t>35-6</t>
  </si>
  <si>
    <t>山口市</t>
  </si>
  <si>
    <t>https://www.pref.yamaguchi.lg.jp/cms/a15200/kansensyou/koronahassei.html</t>
  </si>
  <si>
    <t>35-8</t>
  </si>
  <si>
    <t>35-10</t>
  </si>
  <si>
    <t>同僚等</t>
  </si>
  <si>
    <t>35-11</t>
  </si>
  <si>
    <t>35-12</t>
  </si>
  <si>
    <t>35-9</t>
  </si>
  <si>
    <t>36-2</t>
  </si>
  <si>
    <t>https://www.pref.tokushima.lg.jp/file/attachment/552067.pdf</t>
  </si>
  <si>
    <t>37-2</t>
  </si>
  <si>
    <t>https://www.pref.kagawa.lg.jp/content/etc/web/upfiles/wazlqj200330235511_f03.pdf</t>
  </si>
  <si>
    <t>38-10</t>
  </si>
  <si>
    <t>38-11</t>
  </si>
  <si>
    <t>https://www.pref.ehime.jp/h25500/kansen/documents/0402press.pdf</t>
  </si>
  <si>
    <t>38-12</t>
  </si>
  <si>
    <t>https://www.pref.ehime.jp/h25500/kansen/documents/020403press_1.pdf</t>
  </si>
  <si>
    <t>38-13</t>
  </si>
  <si>
    <t>38-21</t>
  </si>
  <si>
    <t>https://www.pref.ehime.jp/h25500/kansen/documents/020406press_1.pdf</t>
  </si>
  <si>
    <t>38-19</t>
  </si>
  <si>
    <t>https://www.pref.ehime.jp/h25500/kansen/documents/020403press_2.pdf</t>
  </si>
  <si>
    <t>38-23</t>
  </si>
  <si>
    <t>39-2</t>
  </si>
  <si>
    <t>https://www.pref.kochi.lg.jp/soshiki/130401/files/2020022900049/case-2.pdf</t>
  </si>
  <si>
    <t>39-3</t>
  </si>
  <si>
    <t>https://www.pref.kochi.lg.jp/soshiki/130401/files/2020022900049/case-3.pdf</t>
  </si>
  <si>
    <t>39-4</t>
  </si>
  <si>
    <t>https://www.pref.kochi.lg.jp/soshiki/130401/files/2020022900049/case4-6.pdf</t>
  </si>
  <si>
    <t>39-12</t>
  </si>
  <si>
    <t>https://www.pref.kochi.lg.jp/soshiki/130401/files/2020022900049/file_2020380164017_1.pdf</t>
  </si>
  <si>
    <t>39-13</t>
  </si>
  <si>
    <t>39-14</t>
  </si>
  <si>
    <t>https://www.pref.kochi.lg.jp/soshiki/130401/files/2020022900049/file_20203290161349_1.pdf</t>
  </si>
  <si>
    <t>39-16</t>
  </si>
  <si>
    <t>カラオケ同席</t>
  </si>
  <si>
    <t>カラオケ</t>
  </si>
  <si>
    <t>https://www.pref.kochi.lg.jp/soshiki/130401/files/2020022900049/file_20203312175933_1.pdf</t>
  </si>
  <si>
    <t>39-18</t>
  </si>
  <si>
    <t>https://www.pref.kochi.lg.jp/soshiki/130401/files/2020022900049/file_2020413164127_1.pdf</t>
  </si>
  <si>
    <t>39-21</t>
  </si>
  <si>
    <t>https://www.pref.kochi.lg.jp/soshiki/130401/files/2020022900049/0402.pdf</t>
  </si>
  <si>
    <t>39-27</t>
  </si>
  <si>
    <t>https://www.pref.kochi.lg.jp/soshiki/130401/files/2020022900049/file_2020450161934_1.pdf</t>
  </si>
  <si>
    <t>39-17</t>
  </si>
  <si>
    <t>高知県警察 宿毛警察署</t>
  </si>
  <si>
    <t>https://www.pref.kochi.lg.jp/soshiki/130401/files/2020022900049/file_2020413164227_1.pdf
http://www.city.sukumo.kochi.jp/docs-05/18243.html</t>
  </si>
  <si>
    <t>https://www.pref.kochi.lg.jp/soshiki/130401/files/2020022900049/file_2020446162710_1.pdf</t>
  </si>
  <si>
    <t>39-22</t>
  </si>
  <si>
    <t>39-25</t>
  </si>
  <si>
    <t>39-28</t>
  </si>
  <si>
    <t>幡多福祉保健所管内</t>
  </si>
  <si>
    <t>https://www.pref.kochi.lg.jp/soshiki/130401/files/2020022900049/file_2020450162157_1.pdf</t>
  </si>
  <si>
    <t>39-29</t>
  </si>
  <si>
    <t>39-30</t>
  </si>
  <si>
    <t>孫娘</t>
  </si>
  <si>
    <t>39-31</t>
  </si>
  <si>
    <t>39-32</t>
  </si>
  <si>
    <t>39-5</t>
  </si>
  <si>
    <t>父</t>
  </si>
  <si>
    <t>39-6</t>
  </si>
  <si>
    <t>39-7</t>
  </si>
  <si>
    <t>親戚</t>
  </si>
  <si>
    <t>https://www.pref.kochi.lg.jp/soshiki/130401/files/2020022900049/case-7.pdf</t>
  </si>
  <si>
    <t>39-35</t>
  </si>
  <si>
    <t>友人等</t>
  </si>
  <si>
    <t>https://www.pref.kochi.lg.jp/soshiki/130401/files/2020022900049/file_202046116226_1.pdf</t>
  </si>
  <si>
    <t>39-33</t>
  </si>
  <si>
    <t>39-36</t>
  </si>
  <si>
    <t>39-8</t>
  </si>
  <si>
    <t>39-10</t>
  </si>
  <si>
    <t>中央西福祉保健所管内</t>
  </si>
  <si>
    <t>https://www.pref.kochi.lg.jp/soshiki/130401/files/2020022900049/teirei0307.pdf</t>
  </si>
  <si>
    <t>40-1</t>
  </si>
  <si>
    <t>40-2</t>
  </si>
  <si>
    <t>福岡県</t>
  </si>
  <si>
    <t>福岡市中央区</t>
  </si>
  <si>
    <t>https://www.pref.fukuoka.lg.jp/contents/bukan.html#A1-2-2</t>
  </si>
  <si>
    <t>40-104</t>
  </si>
  <si>
    <t>40-134</t>
  </si>
  <si>
    <t>福岡市博多区</t>
  </si>
  <si>
    <t>https://www.pref.fukuoka.lg.jp/contents/covid19-hassei.html</t>
  </si>
  <si>
    <t>40-135</t>
  </si>
  <si>
    <t>40-108</t>
  </si>
  <si>
    <t>40-128</t>
  </si>
  <si>
    <t>福岡市南区</t>
  </si>
  <si>
    <t>40-129</t>
  </si>
  <si>
    <t>40-130</t>
  </si>
  <si>
    <t>40-173</t>
  </si>
  <si>
    <t>40-11</t>
  </si>
  <si>
    <t>40-16</t>
  </si>
  <si>
    <t>福岡市城南区</t>
  </si>
  <si>
    <t>40-110</t>
  </si>
  <si>
    <t>40-172</t>
  </si>
  <si>
    <t>経営者と従業員</t>
  </si>
  <si>
    <t>40-112</t>
  </si>
  <si>
    <t>40-133</t>
  </si>
  <si>
    <t>医療スタッフと入院患者</t>
  </si>
  <si>
    <t>福岡記念病院</t>
  </si>
  <si>
    <t>https://www.pref.fukuoka.lg.jp/contents/covid19-hassei.html;
https://www.nishinippon.co.jp/item/n/598005/</t>
  </si>
  <si>
    <t>40-137</t>
  </si>
  <si>
    <t>医療機関の同僚</t>
  </si>
  <si>
    <t>40-138</t>
  </si>
  <si>
    <r>
      <t xml:space="preserve">https://www.pref.fukuoka.lg.jp/contents/covid19-hassei.html;
</t>
    </r>
    <r>
      <rPr>
        <color rgb="FF000000"/>
      </rPr>
      <t>https://www.nishinippon.co.jp/item/n/598005/</t>
    </r>
  </si>
  <si>
    <t>40-139</t>
  </si>
  <si>
    <r>
      <t xml:space="preserve">https://www.pref.fukuoka.lg.jp/contents/covid19-hassei.html;
</t>
    </r>
    <r>
      <rPr>
        <color rgb="FF000000"/>
      </rPr>
      <t>https://www.nishinippon.co.jp/item/n/598005/</t>
    </r>
  </si>
  <si>
    <t>40-140</t>
  </si>
  <si>
    <r>
      <t xml:space="preserve">https://www.pref.fukuoka.lg.jp/contents/covid19-hassei.html;
</t>
    </r>
    <r>
      <rPr>
        <color rgb="FF000000"/>
      </rPr>
      <t>https://www.nishinippon.co.jp/item/n/598005/</t>
    </r>
  </si>
  <si>
    <t>40-141</t>
  </si>
  <si>
    <r>
      <t xml:space="preserve">https://www.pref.fukuoka.lg.jp/contents/covid19-hassei.html;
</t>
    </r>
    <r>
      <rPr>
        <color rgb="FF000000"/>
      </rPr>
      <t>https://www.nishinippon.co.jp/item/n/598005/</t>
    </r>
  </si>
  <si>
    <t>40-142</t>
  </si>
  <si>
    <r>
      <t xml:space="preserve">https://www.pref.fukuoka.lg.jp/contents/covid19-hassei.html;
</t>
    </r>
    <r>
      <rPr>
        <color rgb="FF000000"/>
      </rPr>
      <t>https://www.nishinippon.co.jp/item/n/598005/</t>
    </r>
  </si>
  <si>
    <t>40-143</t>
  </si>
  <si>
    <r>
      <t xml:space="preserve">https://www.pref.fukuoka.lg.jp/contents/covid19-hassei.html;
</t>
    </r>
    <r>
      <rPr>
        <color rgb="FF000000"/>
      </rPr>
      <t>https://www.nishinippon.co.jp/item/n/598005/</t>
    </r>
  </si>
  <si>
    <t>40-144</t>
  </si>
  <si>
    <r>
      <t xml:space="preserve">https://www.pref.fukuoka.lg.jp/contents/covid19-hassei.html;
</t>
    </r>
    <r>
      <rPr>
        <color rgb="FF000000"/>
      </rPr>
      <t>https://www.nishinippon.co.jp/item/n/598005/</t>
    </r>
  </si>
  <si>
    <t>40-145</t>
  </si>
  <si>
    <r>
      <t xml:space="preserve">https://www.pref.fukuoka.lg.jp/contents/covid19-hassei.html;
</t>
    </r>
    <r>
      <rPr>
        <color rgb="FF000000"/>
      </rPr>
      <t>https://www.nishinippon.co.jp/item/n/598005/</t>
    </r>
  </si>
  <si>
    <t>40-150</t>
  </si>
  <si>
    <t>40-151</t>
  </si>
  <si>
    <t>40-176</t>
  </si>
  <si>
    <t>40-113</t>
  </si>
  <si>
    <t>40-114</t>
  </si>
  <si>
    <t>40-127</t>
  </si>
  <si>
    <t>40-181</t>
  </si>
  <si>
    <t>40-119</t>
  </si>
  <si>
    <t>40-175</t>
  </si>
  <si>
    <t>医療スタッフと患者</t>
  </si>
  <si>
    <t>西福岡病院</t>
  </si>
  <si>
    <t>40-121</t>
  </si>
  <si>
    <t>40-122</t>
  </si>
  <si>
    <t>40-168</t>
  </si>
  <si>
    <t>40-126</t>
  </si>
  <si>
    <t>40-158</t>
  </si>
  <si>
    <t>東京</t>
  </si>
  <si>
    <t>40-13</t>
  </si>
  <si>
    <t>40-26</t>
  </si>
  <si>
    <t>宗像市</t>
  </si>
  <si>
    <t>40-136</t>
  </si>
  <si>
    <t>40-169</t>
  </si>
  <si>
    <t>福岡市東区</t>
  </si>
  <si>
    <t>40-170</t>
  </si>
  <si>
    <t>40-179</t>
  </si>
  <si>
    <t>勤務先同僚</t>
  </si>
  <si>
    <t>40-152</t>
  </si>
  <si>
    <t>40-35?</t>
  </si>
  <si>
    <t>40-159</t>
  </si>
  <si>
    <t>40-89?</t>
  </si>
  <si>
    <t>住宅型有料老人ホームの入居者</t>
  </si>
  <si>
    <t>あいくらす香椎参道</t>
  </si>
  <si>
    <t>40-160</t>
  </si>
  <si>
    <t>40-161</t>
  </si>
  <si>
    <t>40-162</t>
  </si>
  <si>
    <t>40-164</t>
  </si>
  <si>
    <t>40-165</t>
  </si>
  <si>
    <t>北九州市若松区</t>
  </si>
  <si>
    <t>40-167</t>
  </si>
  <si>
    <t>40-25</t>
  </si>
  <si>
    <t>40-52</t>
  </si>
  <si>
    <t>40-27</t>
  </si>
  <si>
    <t>40-28</t>
  </si>
  <si>
    <t>id不明（第一報では40-27は陽性者の濃厚接触者）</t>
  </si>
  <si>
    <t>40-34</t>
  </si>
  <si>
    <t>id不明（第一報では40-34は陽性者の濃厚接触者）</t>
  </si>
  <si>
    <t>40-35</t>
  </si>
  <si>
    <t>40-76</t>
  </si>
  <si>
    <t>家族（親子）</t>
  </si>
  <si>
    <t>糸島市</t>
  </si>
  <si>
    <t>40-77</t>
  </si>
  <si>
    <t>40-99</t>
  </si>
  <si>
    <t>飲食店の客と従業員</t>
  </si>
  <si>
    <t>40-39</t>
  </si>
  <si>
    <t>40-79</t>
  </si>
  <si>
    <t>患者と医療関係者</t>
  </si>
  <si>
    <t>医療施設</t>
  </si>
  <si>
    <t>40-80</t>
  </si>
  <si>
    <t>40-81</t>
  </si>
  <si>
    <t>40-82</t>
  </si>
  <si>
    <t>40-41</t>
  </si>
  <si>
    <t>40-83</t>
  </si>
  <si>
    <t>入学予定の大学の学生</t>
  </si>
  <si>
    <t>40-44</t>
  </si>
  <si>
    <t>40-53</t>
  </si>
  <si>
    <t>新小文字病院</t>
  </si>
  <si>
    <t>40-54</t>
  </si>
  <si>
    <t>40-55</t>
  </si>
  <si>
    <t>40-56</t>
  </si>
  <si>
    <t>40-57</t>
  </si>
  <si>
    <t>40-58</t>
  </si>
  <si>
    <t>40-59</t>
  </si>
  <si>
    <t>40-60</t>
  </si>
  <si>
    <t>40-61</t>
  </si>
  <si>
    <t>40-62</t>
  </si>
  <si>
    <t>40-63</t>
  </si>
  <si>
    <t>40-64</t>
  </si>
  <si>
    <t>40-65</t>
  </si>
  <si>
    <t>40-66</t>
  </si>
  <si>
    <t>40-67</t>
  </si>
  <si>
    <t>40-68</t>
  </si>
  <si>
    <t>40-69</t>
  </si>
  <si>
    <t>40-84</t>
  </si>
  <si>
    <t>40-85</t>
  </si>
  <si>
    <t>40-48</t>
  </si>
  <si>
    <t>40-105</t>
  </si>
  <si>
    <t>40-106</t>
  </si>
  <si>
    <t>40-107</t>
  </si>
  <si>
    <t>40-49</t>
  </si>
  <si>
    <t>40-90</t>
  </si>
  <si>
    <t>看護師と入所者</t>
  </si>
  <si>
    <t>老人保健施設楽陽園</t>
  </si>
  <si>
    <r>
      <t xml:space="preserve">https://www.pref.fukuoka.lg.jp/contents/covid19-hassei.html; </t>
    </r>
    <r>
      <rPr>
        <color rgb="FF000000"/>
      </rPr>
      <t>https://www.nishinippon.co.jp/item/n/597396/</t>
    </r>
  </si>
  <si>
    <t>40-91</t>
  </si>
  <si>
    <r>
      <t xml:space="preserve">https://www.pref.fukuoka.lg.jp/contents/covid19-hassei.html; </t>
    </r>
    <r>
      <rPr>
        <color rgb="FF000000"/>
      </rPr>
      <t>https://www.nishinippon.co.jp/item/n/597396/</t>
    </r>
  </si>
  <si>
    <t>40-92</t>
  </si>
  <si>
    <r>
      <t xml:space="preserve">https://www.pref.fukuoka.lg.jp/contents/covid19-hassei.html; </t>
    </r>
    <r>
      <rPr>
        <color rgb="FF000000"/>
      </rPr>
      <t>https://www.nishinippon.co.jp/item/n/597396/</t>
    </r>
  </si>
  <si>
    <t>40-93</t>
  </si>
  <si>
    <r>
      <t xml:space="preserve">https://www.pref.fukuoka.lg.jp/contents/covid19-hassei.html; </t>
    </r>
    <r>
      <rPr>
        <color rgb="FF000000"/>
      </rPr>
      <t>https://www.nishinippon.co.jp/item/n/597396/</t>
    </r>
  </si>
  <si>
    <t>40-94</t>
  </si>
  <si>
    <r>
      <t xml:space="preserve">https://www.pref.fukuoka.lg.jp/contents/covid19-hassei.html; </t>
    </r>
    <r>
      <rPr>
        <color rgb="FF000000"/>
      </rPr>
      <t>https://www.nishinippon.co.jp/item/n/597396/</t>
    </r>
  </si>
  <si>
    <t>40-95</t>
  </si>
  <si>
    <r>
      <t xml:space="preserve">https://www.pref.fukuoka.lg.jp/contents/covid19-hassei.html; </t>
    </r>
    <r>
      <rPr>
        <color rgb="FF000000"/>
      </rPr>
      <t>https://www.nishinippon.co.jp/item/n/597396/</t>
    </r>
  </si>
  <si>
    <t>40-96</t>
  </si>
  <si>
    <t>介護老人施設職員</t>
  </si>
  <si>
    <r>
      <t xml:space="preserve">https://www.pref.fukuoka.lg.jp/contents/covid19-hassei.html; </t>
    </r>
    <r>
      <rPr>
        <color rgb="FF000000"/>
      </rPr>
      <t>https://www.nishinippon.co.jp/item/n/597396/</t>
    </r>
  </si>
  <si>
    <t>40-97</t>
  </si>
  <si>
    <r>
      <t xml:space="preserve">https://www.pref.fukuoka.lg.jp/contents/covid19-hassei.html; </t>
    </r>
    <r>
      <rPr>
        <color rgb="FF000000"/>
      </rPr>
      <t>https://www.nishinippon.co.jp/item/n/597396/</t>
    </r>
  </si>
  <si>
    <t>40-50</t>
  </si>
  <si>
    <t>家族（祖父と孫）</t>
  </si>
  <si>
    <t>別居（福岡市博多区、南区）</t>
  </si>
  <si>
    <t>40-70</t>
  </si>
  <si>
    <t>40-101</t>
  </si>
  <si>
    <t>患者と医療スタッフ</t>
  </si>
  <si>
    <t>北九州市内医療機関</t>
  </si>
  <si>
    <t>40-102</t>
  </si>
  <si>
    <t>40-74</t>
  </si>
  <si>
    <t>40-75</t>
  </si>
  <si>
    <t>海外在住</t>
  </si>
  <si>
    <t>家族（夫婦）</t>
  </si>
  <si>
    <t>40-78</t>
  </si>
  <si>
    <t>40-120</t>
  </si>
  <si>
    <t>豊前市</t>
  </si>
  <si>
    <t>40-8</t>
  </si>
  <si>
    <t>40-9</t>
  </si>
  <si>
    <t>飯塚市</t>
  </si>
  <si>
    <t>40-86</t>
  </si>
  <si>
    <t>40-30?</t>
  </si>
  <si>
    <t>40-87</t>
  </si>
  <si>
    <t>40-88</t>
  </si>
  <si>
    <t>40-132</t>
  </si>
  <si>
    <t>40-89</t>
  </si>
  <si>
    <t>40-174</t>
  </si>
  <si>
    <t>40-48?</t>
  </si>
  <si>
    <t>41-4</t>
  </si>
  <si>
    <t>41-5</t>
  </si>
  <si>
    <t>母子</t>
  </si>
  <si>
    <t>佐賀県</t>
  </si>
  <si>
    <t>https://www.pref.saga.lg.jp/kiji00373220/index.html</t>
  </si>
  <si>
    <t>41-6</t>
  </si>
  <si>
    <t>41-7</t>
  </si>
  <si>
    <t>みやき町</t>
  </si>
  <si>
    <t>https://www.town.miyaki.lg.jp/var/rev0/0007/5260/12045112638.pdf</t>
  </si>
  <si>
    <t>41-8</t>
  </si>
  <si>
    <t>祖母と孫</t>
  </si>
  <si>
    <t>42-10</t>
  </si>
  <si>
    <t>42-11</t>
  </si>
  <si>
    <t>長崎県</t>
  </si>
  <si>
    <t>https://www.pref.nagasaki.jp/shared/uploads/2020/04/1586001476.pdf</t>
  </si>
  <si>
    <t>42-4</t>
  </si>
  <si>
    <t>42-6</t>
  </si>
  <si>
    <t>県外へ外出？</t>
  </si>
  <si>
    <t>https://www.pref.nagasaki.jp/shared/uploads/2020/04/1585869772.pdf</t>
  </si>
  <si>
    <t>42-7</t>
  </si>
  <si>
    <t>大阪のインタ-ンシップ先</t>
  </si>
  <si>
    <t>インターンシップ先</t>
  </si>
  <si>
    <t>大阪市内（インターンシップ先）</t>
  </si>
  <si>
    <t>https://www.city.sasebo.lg.jp/hokenhukusi/kenkou/documents/houdoushiryou-2reime-r020402-2300.pdf</t>
  </si>
  <si>
    <t>42-8</t>
  </si>
  <si>
    <t>41-3</t>
  </si>
  <si>
    <t>東京にて会議</t>
  </si>
  <si>
    <t>https://www.city.sasebo.lg.jp/hokenhukusi/kenkou/documents/houdoushiryou-3reime-r020402-2300.pdf</t>
  </si>
  <si>
    <t>42-9</t>
  </si>
  <si>
    <t>https://www.pref.nagasaki.jp/shared/uploads/2020/04/1585980258.pdf</t>
  </si>
  <si>
    <t>43-12</t>
  </si>
  <si>
    <t>43-14</t>
  </si>
  <si>
    <t>熊本県</t>
  </si>
  <si>
    <t>熊本市西区</t>
  </si>
  <si>
    <t>http://www.city.kumamoto.jp/common/UploadFileDsp.aspx?c_id=5&amp;id=26562&amp;sub_id=195&amp;flid=201039</t>
  </si>
  <si>
    <t>43-16</t>
  </si>
  <si>
    <t>http://www.city.kumamoto.jp/common/UploadFileDsp.aspx?c_id=5&amp;id=26562&amp;sub_id=214&amp;flid=201575</t>
  </si>
  <si>
    <t>43-19</t>
  </si>
  <si>
    <t>43-20</t>
  </si>
  <si>
    <t>https://www.pref.kumamoto.jp/common/UploadFileOutput.ashx?c_id=3&amp;id=30386&amp;sub_id=86&amp;flid=230667</t>
  </si>
  <si>
    <t>43-7</t>
  </si>
  <si>
    <t>43-11</t>
  </si>
  <si>
    <t>熊本市中央区</t>
  </si>
  <si>
    <t>http://www.city.kumamoto.jp/common/UploadFileDsp.aspx?c_id=5&amp;id=26562&amp;sub_id=186&amp;flid=200787</t>
  </si>
  <si>
    <t>43-8</t>
  </si>
  <si>
    <t>43-10</t>
  </si>
  <si>
    <t>ピースフル優祐悠</t>
  </si>
  <si>
    <t>http://www.city.kumamoto.jp/common/UploadFileDsp.aspx?c_id=5&amp;id=26562&amp;sub_id=185&amp;flid=200784</t>
  </si>
  <si>
    <t>43-9</t>
  </si>
  <si>
    <t>http://www.city.kumamoto.jp/common/UploadFileDsp.aspx?c_id=5&amp;id=26562&amp;sub_id=185&amp;flid=200785</t>
  </si>
  <si>
    <t>44-10</t>
  </si>
  <si>
    <t>44-20</t>
  </si>
  <si>
    <t>大分医療センター</t>
  </si>
  <si>
    <t>http://www.pref.oita.jp/uploaded/attachment/2074590.pdf;https://news.livedoor.com/article/detail/18003925/</t>
  </si>
  <si>
    <t>44-14</t>
  </si>
  <si>
    <t>44-22</t>
  </si>
  <si>
    <t>http://www.pref.oita.jp/uploaded/attachment/2074679.pdf;https://news.livedoor.com/article/detail/18003925/</t>
  </si>
  <si>
    <t>44-15または44-17</t>
  </si>
  <si>
    <t>44-2</t>
  </si>
  <si>
    <t>同病院のスタッフと患者</t>
  </si>
  <si>
    <t>https://news.livedoor.com/article/detail/18003925/</t>
  </si>
  <si>
    <t>センタ-から転院後に感染が判明した８０代男性</t>
  </si>
  <si>
    <t>大分県立病院</t>
  </si>
  <si>
    <t>https://www.oita-press.co.jp/1010000000/2020/03/23/JD0059080799</t>
  </si>
  <si>
    <t>44-16</t>
  </si>
  <si>
    <t>同病院の患者</t>
  </si>
  <si>
    <t>44-21</t>
  </si>
  <si>
    <t>44-3</t>
  </si>
  <si>
    <t>https://www3.nhk.or.jp/news/html/20200325/k10012349501000.html</t>
  </si>
  <si>
    <t>44-4</t>
  </si>
  <si>
    <t>https://www.nikkei.com/article/DGXMZO57080660S0A320C2000000/</t>
  </si>
  <si>
    <t>44-5</t>
  </si>
  <si>
    <t>44-6</t>
  </si>
  <si>
    <t>44-7</t>
  </si>
  <si>
    <t>44-8</t>
  </si>
  <si>
    <t>44-24</t>
  </si>
  <si>
    <t>44-25</t>
  </si>
  <si>
    <t>44-27</t>
  </si>
  <si>
    <t>44-31</t>
  </si>
  <si>
    <t>同じ会社に勤務</t>
  </si>
  <si>
    <t>http://www.pref.oita.jp/uploaded/attachment/2077069.pdf</t>
  </si>
  <si>
    <t>44-30</t>
  </si>
  <si>
    <t>44-32</t>
  </si>
  <si>
    <t>職場で接触</t>
  </si>
  <si>
    <t>http://www.pref.oita.jp/uploaded/attachment/2077087.pdf</t>
  </si>
  <si>
    <t>44-18</t>
  </si>
  <si>
    <t>https://news.livedoor.com/article/detail/18003925/;http://www.pref.oita.jp/uploaded/attachment/2074590.pdf</t>
  </si>
  <si>
    <t>44-19</t>
  </si>
  <si>
    <t>http://www.pref.oita.jp/uploaded/attachment/2074590.pdf</t>
  </si>
  <si>
    <t>45-11</t>
  </si>
  <si>
    <t>福岡市</t>
  </si>
  <si>
    <t>https://www.pref.miyazaki.lg.jp/kohosenryaku/kenko/hoken/20200407.html</t>
  </si>
  <si>
    <t>45-5</t>
  </si>
  <si>
    <t>45-6</t>
  </si>
  <si>
    <t>https://www.pref.miyazaki.lg.jp/kohosenryaku/kenko/hoken/covid19_20200403-2.html</t>
  </si>
  <si>
    <t>45-7</t>
  </si>
  <si>
    <t>45-8</t>
  </si>
  <si>
    <t>https://www.pref.miyazaki.lg.jp/kohosenryaku/kenko/hoken/covid19_20200404.html</t>
  </si>
  <si>
    <t>45-9</t>
  </si>
  <si>
    <t>宮崎市</t>
  </si>
  <si>
    <t>https://www.pref.miyazaki.lg.jp/kohosenryaku/kenko/hoken/covid19_20200405.html</t>
  </si>
  <si>
    <t>47-6</t>
  </si>
  <si>
    <t>25-13</t>
  </si>
  <si>
    <t>飛行機同乗</t>
  </si>
  <si>
    <t>47-17</t>
  </si>
  <si>
    <t>https://www.pref.okinawa.jp/site/hoken/chiikihoken/kekkaku/press/documents/20200404_covid19_12.pdf</t>
  </si>
  <si>
    <t>47-7</t>
  </si>
  <si>
    <t>https://www.pref.okinawa.jp/site/hoken/chiikihoken/kekkaku/press/documents/okinawa-cov0328.pdf</t>
  </si>
  <si>
    <t>7-8</t>
  </si>
  <si>
    <t>7-15</t>
  </si>
  <si>
    <t>https://www.pref.fukushima.lg.jp/uploaded/attachment/379877.pdf</t>
  </si>
  <si>
    <t>7-16</t>
  </si>
  <si>
    <t>7-22</t>
  </si>
  <si>
    <t>県中保健所管内</t>
  </si>
  <si>
    <t>https://www.pref.fukushima.lg.jp/uploaded/attachment/380207.pdf</t>
  </si>
  <si>
    <t>7-23</t>
  </si>
  <si>
    <t>7-18</t>
  </si>
  <si>
    <t>7-19</t>
  </si>
  <si>
    <t>福島市保健所管内</t>
  </si>
  <si>
    <t>https://www.pref.fukushima.lg.jp/uploaded/attachment/380203.pdf</t>
  </si>
  <si>
    <t>5-9</t>
  </si>
  <si>
    <t>5-10</t>
  </si>
  <si>
    <t>由利本荘保健所管内</t>
  </si>
  <si>
    <t>https://www.pref.akita.lg.jp/uploads/public/archive_0000047957_00/R02.04.03%E3%80%80%E5%A0%B1%E9%81%93%E7%99%BA%E8%A1%A8%E8%B3%87%E6%96%99%EF%BC%889%E4%BE%8B%E7%9B%AE%EF%BC%9A%E8%BF%BD%E5%8A%A0%E7%99%BA%E8%A1%A8%EF%BC%89.pdf</t>
  </si>
  <si>
    <t>5-11</t>
  </si>
  <si>
    <t>https://www.pref.akita.lg.jp/uploads/public/archive_0000047957_00/R02.04.04%E3%80%80%E5%A0%B1%E9%81%93%E7%99%BA%E8%A1%A8%E8%B3%87%E6%96%99%EF%BC%889%E3%80%8110%E4%BE%8B%E7%9B%AE%EF%BC%9A%E8%BF%BD%E5%8A%A0%E7%99%BA%E8%A1%A8%EF%BC%89.pdf</t>
  </si>
  <si>
    <t>1-184</t>
  </si>
  <si>
    <t>1-193</t>
  </si>
  <si>
    <t>http://www.pref.hokkaido.lg.jp/hf/kth/kak/kisyakaiken0404-2siryou.pdf</t>
  </si>
  <si>
    <t>1-197</t>
  </si>
  <si>
    <t>1-198</t>
  </si>
  <si>
    <t>http://www.pref.hokkaido.lg.jp/hf/kth/kak/kisyakaiken0407siryou.pdf</t>
  </si>
  <si>
    <t>1-203</t>
  </si>
  <si>
    <t>1-204</t>
  </si>
  <si>
    <t>入居者</t>
  </si>
  <si>
    <t>グループホーム「ぬくもりの里」</t>
  </si>
  <si>
    <t>http://www.pref.hokkaido.lg.jp/hf/kth/kak/kisyakaiken0408-2siryou.pdf;https://www.asahi.com/articles/ASN4973J0N49IIPE002.html</t>
  </si>
  <si>
    <t>1-209</t>
  </si>
  <si>
    <t>http://www.pref.hokkaido.lg.jp/hf/kth/kak/kisyakaiken0409-2siryou.pdf</t>
  </si>
  <si>
    <t>1-210</t>
  </si>
  <si>
    <t>1-211</t>
  </si>
  <si>
    <t>1-212</t>
  </si>
  <si>
    <t>1-213</t>
  </si>
  <si>
    <t>1-214</t>
  </si>
  <si>
    <t>1-215</t>
  </si>
  <si>
    <t>入居者と職員</t>
  </si>
  <si>
    <t>1-208</t>
  </si>
  <si>
    <t>1-217</t>
  </si>
  <si>
    <t>1-222</t>
  </si>
  <si>
    <t>1-223</t>
  </si>
  <si>
    <t>http://www.pref.hokkaido.lg.jp/hf/kth/kak/kisyakaiken0409siryou.pdf</t>
  </si>
  <si>
    <t>6-3</t>
  </si>
  <si>
    <t>6-4</t>
  </si>
  <si>
    <t>新庄市</t>
  </si>
  <si>
    <t>https://www.pref.yamagata.jp/ou/bosai/020072/kochibou/coronavirus/pdf/4-8reime.pdf</t>
  </si>
  <si>
    <t>6-5</t>
  </si>
  <si>
    <t>6-6</t>
  </si>
  <si>
    <t>6-9</t>
  </si>
  <si>
    <t>職員</t>
  </si>
  <si>
    <t>特別養護老人ホーム翠明荘</t>
  </si>
  <si>
    <t>https://www.pref.yamagata.jp/ou/bosai/020072/kochibou/coronavirus/pdf/9-10reime.pdf</t>
  </si>
  <si>
    <t>6-7</t>
  </si>
  <si>
    <t>6-8</t>
  </si>
  <si>
    <t>6-10</t>
  </si>
  <si>
    <t>6-11</t>
  </si>
  <si>
    <t>上山市</t>
  </si>
  <si>
    <t>6-12</t>
  </si>
  <si>
    <t>6-16</t>
  </si>
  <si>
    <t>6-17</t>
  </si>
  <si>
    <t>ヤマト運輸 山形主管支店南陽支店（山形県東置賜郡高畠町大字深沼字蒲原2126-4）</t>
  </si>
  <si>
    <t>6-14</t>
  </si>
  <si>
    <t>6-15</t>
  </si>
  <si>
    <t>6-23</t>
  </si>
  <si>
    <t>https://www.pref.yamagata.jp/ou/bosai/020072/kochibou/coronavirus/pdf/23-27reime.pdf</t>
  </si>
  <si>
    <t>6-24</t>
  </si>
  <si>
    <t>高畠町</t>
  </si>
  <si>
    <t>6-25</t>
  </si>
  <si>
    <t>6-26</t>
  </si>
  <si>
    <t>6-20</t>
  </si>
  <si>
    <t>鶴岡市</t>
  </si>
  <si>
    <t>https://www.pref.yamagata.jp/ou/bosai/020072/kochibou/coronavirus/pdf/20-22reime.pdf</t>
  </si>
  <si>
    <t>6-21</t>
  </si>
  <si>
    <t>25-18</t>
  </si>
  <si>
    <t>https://www.pref.shiga.lg.jp/kensei/koho/e-shinbun/oshirase/311167.html;http://www.kuronekoyamato.co.jp/ytc/info/info_200405.html</t>
  </si>
  <si>
    <t>25-19</t>
  </si>
  <si>
    <t>https://www.pref.shiga.lg.jp/kensei/koho/e-shinbun/oshirase/311191.html</t>
  </si>
  <si>
    <t>https://www.pref.shiga.lg.jp/kensei/koho/e-shinbun/oshirase/311247.html</t>
  </si>
  <si>
    <t>25-21</t>
  </si>
  <si>
    <t>25-27</t>
  </si>
  <si>
    <t>大津市</t>
  </si>
  <si>
    <t>https://www.pref.shiga.lg.jp/kensei/koho/e-shinbun/oshirase/311276.html</t>
  </si>
  <si>
    <t>25-28</t>
  </si>
  <si>
    <t>25-22</t>
  </si>
  <si>
    <t>25-29</t>
  </si>
  <si>
    <t>近江八幡市</t>
  </si>
  <si>
    <t>25-23</t>
  </si>
  <si>
    <t>25-30</t>
  </si>
  <si>
    <t>18-1</t>
  </si>
  <si>
    <t>18-13</t>
  </si>
  <si>
    <t>https://www.pref.fukui.lg.jp/doc/kenkou/kansensyo-yobousessyu/corona_d/fil/200329-1.pdf</t>
  </si>
  <si>
    <t>18-21</t>
  </si>
  <si>
    <t>秘書</t>
  </si>
  <si>
    <t>https://www.pref.fukui.lg.jp/doc/kenkou/kansensyo-yobousessyu/corona_d/fil/200401-2.pdf;https://www.chunichi.co.jp/article/fukui/20200407/CK2020040702000043.html</t>
  </si>
  <si>
    <t>18-3</t>
  </si>
  <si>
    <t>18-4</t>
  </si>
  <si>
    <t>福井市</t>
  </si>
  <si>
    <t>https://www.pref.fukui.lg.jp/doc/kenkou/kansensyo-yobousessyu/corona_d/fil/200326.pdf</t>
  </si>
  <si>
    <t>18-5</t>
  </si>
  <si>
    <t>別居の親子</t>
  </si>
  <si>
    <t>18-6</t>
  </si>
  <si>
    <t>https://www.pref.fukui.lg.jp/doc/kenkou/kansensyo-yobousessyu/corona_d/fil/200326-2.pdf</t>
  </si>
  <si>
    <t>18-12</t>
  </si>
  <si>
    <t>https://www.chunichi.co.jp/article/fukui/20200407/CK2020040702000043.html</t>
  </si>
  <si>
    <t>18-25</t>
  </si>
  <si>
    <t>https://www.pref.fukui.lg.jp/doc/kenkou/kansensyo-yobousessyu/corona_d/fil/200402-1.pdf</t>
  </si>
  <si>
    <t>18-17</t>
  </si>
  <si>
    <t>仕事で接触</t>
  </si>
  <si>
    <t>https://www.pref.fukui.lg.jp/doc/kenkou/kansensyo-yobousessyu/corona_d/fil/200331-1.pdf;https://www.chunichi.co.jp/article/fukui/20200407/CK2020040702000043.html</t>
  </si>
  <si>
    <t>18-27</t>
  </si>
  <si>
    <t>店員と利用客</t>
  </si>
  <si>
    <t>18-35</t>
  </si>
  <si>
    <t>https://www.pref.fukui.lg.jp/doc/kenkou/kansensyo-yobousessyu/corona_d/fil/200403.pdf</t>
  </si>
  <si>
    <t>18-23</t>
  </si>
  <si>
    <t>18-14</t>
  </si>
  <si>
    <t>車に同乗</t>
  </si>
  <si>
    <t>https://www.pref.fukui.lg.jp/doc/kenkou/kansensyo-yobousessyu/corona_d/fil/200330-1.pdf</t>
  </si>
  <si>
    <t>18-15</t>
  </si>
  <si>
    <t>同じ職場で勤務</t>
  </si>
  <si>
    <t>18-29</t>
  </si>
  <si>
    <t>https://www.pref.fukui.lg.jp/doc/kenkou/kansensyo-yobousessyu/corona_d/fil/200409.pdf</t>
  </si>
  <si>
    <t>18-39</t>
  </si>
  <si>
    <t>18-70</t>
  </si>
  <si>
    <t>18-75</t>
  </si>
  <si>
    <t>18-34</t>
  </si>
  <si>
    <t>越前市</t>
  </si>
  <si>
    <t>https://www.pref.fukui.lg.jp/doc/kenkou/kansensyo-yobousessyu/corona_d/fil/200403.pdf;https://www.chunichi.co.jp/article/fukui/20200407/CK2020040702000043.html</t>
  </si>
  <si>
    <t>18-16</t>
  </si>
  <si>
    <t>18-18</t>
  </si>
  <si>
    <t>https://www.pref.fukui.lg.jp/doc/kenkou/kansensyo-yobousessyu/corona_d/fil/200331-1.pdf</t>
  </si>
  <si>
    <t>18-26</t>
  </si>
  <si>
    <t>https://www.pref.fukui.lg.jp/doc/kenkou/kansensyo-yobousessyu/corona_d/fil/200406-2.pdf</t>
  </si>
  <si>
    <t>18-33</t>
  </si>
  <si>
    <t>18-46</t>
  </si>
  <si>
    <t>https://www.pref.fukui.lg.jp/doc/kenkou/kansensyo-yobousessyu/corona_d/fil/200404.pdf</t>
  </si>
  <si>
    <t>18-57</t>
  </si>
  <si>
    <t>18-22</t>
  </si>
  <si>
    <t>18-32</t>
  </si>
  <si>
    <t>18-38</t>
  </si>
  <si>
    <t>18-55</t>
  </si>
  <si>
    <t>https://www.pref.fukui.lg.jp/doc/kenkou/kansensyo-yobousessyu/corona_d/fil/200406-2.pdf;https://www.chunichi.co.jp/article/fukui/20200407/CK2020040702000043.html</t>
  </si>
  <si>
    <t>18-56</t>
  </si>
  <si>
    <t>https://www.pref.fukui.lg.jp/doc/kenkou/kansensyo-yobousessyu/corona_d/fil/200409.pdf;https://www.pref.fukui.lg.jp/doc/kenkou/kansensyo-yobousessyu/corona_d/fil/200406-2.pdf</t>
  </si>
  <si>
    <t>18-63</t>
  </si>
  <si>
    <t>18-76</t>
  </si>
  <si>
    <t>18-67</t>
  </si>
  <si>
    <t>https://www.pref.fukui.lg.jp/doc/kenkou/kansensyo-yobousessyu/corona_d/fil/200408.pdf</t>
  </si>
  <si>
    <t>18-64</t>
  </si>
  <si>
    <t>https://www.pref.fukui.lg.jp/doc/kenkou/kansensyo-yobousessyu/corona_d/fil/200407.pdf</t>
  </si>
  <si>
    <t>18-24</t>
  </si>
  <si>
    <t>18-36</t>
  </si>
  <si>
    <t>18-37</t>
  </si>
  <si>
    <t>18-42</t>
  </si>
  <si>
    <t>https://www.pref.fukui.lg.jp/doc/kenkou/kansensyo-yobousessyu/corona_d/fil/200403-1.pdf</t>
  </si>
  <si>
    <t>18-66</t>
  </si>
  <si>
    <t>会社訪問</t>
  </si>
  <si>
    <t>18-54</t>
  </si>
  <si>
    <t>18-65</t>
  </si>
  <si>
    <t>会社の従業員</t>
  </si>
  <si>
    <t>18-28</t>
  </si>
  <si>
    <t>18-40</t>
  </si>
  <si>
    <t>https://www.pref.fukui.lg.jp/doc/kenkou/kansensyo-yobousessyu/corona_d/fil/200403-1.pdf;https://www.chunichi.co.jp/article/fukui/20200407/CK2020040702000043.html</t>
  </si>
  <si>
    <t>18-41</t>
  </si>
  <si>
    <t>18-45</t>
  </si>
  <si>
    <t>https://www.pref.fukui.lg.jp/doc/kenkou/kansensyo-yobousessyu/corona_d/fil/200404.pdf;https://www.chunichi.co.jp/article/fukui/20200407/CK2020040702000043.html</t>
  </si>
  <si>
    <t>18-47</t>
  </si>
  <si>
    <t>https://www.pref.fukui.lg.jp/doc/kenkou/kansensyo-yobousessyu/corona_d/fil/200405-1.pdf;https://www.chunichi.co.jp/article/fukui/20200407/CK2020040702000043.html</t>
  </si>
  <si>
    <t>18-43</t>
  </si>
  <si>
    <t>18-69</t>
  </si>
  <si>
    <t>鯖江市</t>
  </si>
  <si>
    <t>18-50</t>
  </si>
  <si>
    <t>https://www.pref.fukui.lg.jp/doc/kenkou/kansensyo-yobousessyu/corona_d/fil/200405-1.pdf</t>
  </si>
  <si>
    <t>18-48</t>
  </si>
  <si>
    <t>18-68</t>
  </si>
  <si>
    <t>坂井市</t>
  </si>
  <si>
    <t>18-51</t>
  </si>
  <si>
    <t>18-59</t>
  </si>
  <si>
    <t>18-72</t>
  </si>
  <si>
    <t>18-74</t>
  </si>
  <si>
    <t>18-58</t>
  </si>
  <si>
    <t>18-60</t>
  </si>
  <si>
    <t>18-61</t>
  </si>
  <si>
    <t>大野市</t>
  </si>
  <si>
    <t>18-62</t>
  </si>
  <si>
    <t>18-71</t>
  </si>
  <si>
    <t>福島泌尿器科医院（福島市新田塚町）</t>
  </si>
  <si>
    <t>https://www.chunichi.co.jp/s/article/2020040990103937.html;https://www.pref.fukui.lg.jp/doc/kenkou/kansensyo-yobousessyu/corona_d/fil/200409.pdf</t>
  </si>
  <si>
    <t>18-73</t>
  </si>
  <si>
    <t>同じ医院に勤務</t>
  </si>
  <si>
    <t>18-77</t>
  </si>
  <si>
    <t>21-73</t>
  </si>
  <si>
    <t>https://www.city.gifu.lg.jp/secure/44927/kansen29-1_s.pdf</t>
  </si>
  <si>
    <t>21-74</t>
  </si>
  <si>
    <t>https://www.city.gifu.lg.jp/secure/44927/kansen30-01_s.pdf</t>
  </si>
  <si>
    <t>21-75</t>
  </si>
  <si>
    <t>https://www.city.gifu.lg.jp/secure/44927/kansen31-1_s.pdf</t>
  </si>
  <si>
    <t>21-41</t>
  </si>
  <si>
    <t>21-50</t>
  </si>
  <si>
    <t>https://www.pref.gifu.lg.jp/kinkyu-juyo-joho/shingata_corona_kansendoko.data/0405_kanjya_kisyasiryou.pdf</t>
  </si>
  <si>
    <t>21-42</t>
  </si>
  <si>
    <t>21-45</t>
  </si>
  <si>
    <t>21-86</t>
  </si>
  <si>
    <t>https://www.city.gifu.lg.jp/secure/44927/kansen40_2_s.pdf</t>
  </si>
  <si>
    <t>21-47</t>
  </si>
  <si>
    <t>21-51</t>
  </si>
  <si>
    <t>https://www.city.gifu.lg.jp/secure/44927/kansen14-1_s.pdf</t>
  </si>
  <si>
    <t>21-49</t>
  </si>
  <si>
    <t>21-70</t>
  </si>
  <si>
    <t>ともに飲食店を利用</t>
  </si>
  <si>
    <t>https://www.pref.gifu.lg.jp/kinkyu-juyo-joho/shingata_corona_kansendoko.data/0408_kanjya_kisyasiryou.pdf</t>
  </si>
  <si>
    <t>21-52</t>
  </si>
  <si>
    <t>21-53</t>
  </si>
  <si>
    <t>従業員</t>
  </si>
  <si>
    <t>ナイトクラブ「シャルム」</t>
  </si>
  <si>
    <t>https://www.city.gifu.lg.jp/secure/44927/kansen16-2_s.pdf;https://www.city.gifu.lg.jp/secure/44927/kansen15-2_s.pdf</t>
  </si>
  <si>
    <t>21-54</t>
  </si>
  <si>
    <t>https://www.city.gifu.lg.jp/secure/44927/kansen17-2_s.pdf</t>
  </si>
  <si>
    <t>21-55</t>
  </si>
  <si>
    <t>https://www.city.gifu.lg.jp/secure/44927/kansen18-2_s.pdf</t>
  </si>
  <si>
    <t>21-56</t>
  </si>
  <si>
    <t>https://www.city.gifu.lg.jp/secure/44927/kansen19-2_s.pdf</t>
  </si>
  <si>
    <t>21-57</t>
  </si>
  <si>
    <t>https://www.city.gifu.lg.jp/secure/44927/kansen20-2_s.pdf</t>
  </si>
  <si>
    <t>21-58</t>
  </si>
  <si>
    <t>https://www.city.gifu.lg.jp/secure/44927/kansen21-2_s.pdf</t>
  </si>
  <si>
    <t>21-60</t>
  </si>
  <si>
    <t>https://www.pref.gifu.lg.jp/kinkyu-juyo-joho/shingata_corona_kansendoko.data/0407_kanjya_kisyasiryou02.pdf</t>
  </si>
  <si>
    <t>21-61</t>
  </si>
  <si>
    <t>21-62</t>
  </si>
  <si>
    <t>21-63</t>
  </si>
  <si>
    <t>https://www.city.gifu.lg.jp/secure/44927/kansen22-1_s.pdf</t>
  </si>
  <si>
    <t>21-66</t>
  </si>
  <si>
    <t>https://www.city.gifu.lg.jp/secure/44927/kansen25-1_s.pdf</t>
  </si>
  <si>
    <t>21-68</t>
  </si>
  <si>
    <t>https://www.city.gifu.lg.jp/secure/44927/kansen27-2_s.pdf</t>
  </si>
  <si>
    <t>21-77</t>
  </si>
  <si>
    <t>21-67</t>
  </si>
  <si>
    <t>21-79</t>
  </si>
  <si>
    <t>潜龍</t>
  </si>
  <si>
    <t>https://www.city.gifu.lg.jp/secure/44927/kansen33-1_s.pdf</t>
  </si>
  <si>
    <t>21-80</t>
  </si>
  <si>
    <t>https://www.city.gifu.lg.jp/secure/44927/kansen34-1_s.pdf</t>
  </si>
  <si>
    <t>21-81</t>
  </si>
  <si>
    <t>https://www.city.gifu.lg.jp/secure/44927/kansen35-1_s.pdf</t>
  </si>
  <si>
    <t>21-82</t>
  </si>
  <si>
    <t>https://www.city.gifu.lg.jp/secure/44927/kansen36-1_s.pdf</t>
  </si>
  <si>
    <t>21-83</t>
  </si>
  <si>
    <t>https://www.city.gifu.lg.jp/secure/44927/kansen37-1_s.pdf</t>
  </si>
  <si>
    <t>21-84</t>
  </si>
  <si>
    <t>https://www.city.gifu.lg.jp/secure/44927/kansen38-1_s.pdf</t>
  </si>
  <si>
    <t>岐阜市</t>
  </si>
  <si>
    <t>21-85</t>
  </si>
  <si>
    <t>https://www.city.gifu.lg.jp/secure/44927/kansen39_3_s.pdf</t>
  </si>
  <si>
    <t>26-41</t>
  </si>
  <si>
    <t>26-59</t>
  </si>
  <si>
    <t>京都産業大ゼミ卒業祝賀会（3/19）</t>
  </si>
  <si>
    <t>https://www.pref.kyoto.jp/kentai/news/documents/20200331-59-65.pdf</t>
  </si>
  <si>
    <t>26-60</t>
  </si>
  <si>
    <t>26-79</t>
  </si>
  <si>
    <t>https://www.city.kyoto.lg.jp/hokenfukushi/cmsfiles/contents/0000267/267904/200402oshirase46-50.pdf</t>
  </si>
  <si>
    <t>26-84</t>
  </si>
  <si>
    <t>26-61</t>
  </si>
  <si>
    <t>26-62</t>
  </si>
  <si>
    <t>26-63</t>
  </si>
  <si>
    <t>26-64</t>
  </si>
  <si>
    <t>26-65</t>
  </si>
  <si>
    <t>26-80</t>
  </si>
  <si>
    <t>26-77</t>
  </si>
  <si>
    <t>https://www.pref.kyoto.jp/kentai/news/documents/20200402-77.pdf</t>
  </si>
  <si>
    <t>26-78</t>
  </si>
  <si>
    <t>26-81</t>
  </si>
  <si>
    <t>43-22</t>
  </si>
  <si>
    <t>https://www.pref.kumamoto.jp/common/UploadFileOutput.ashx?c_id=3&amp;id=32300&amp;sub_id=1&amp;flid=231182</t>
  </si>
  <si>
    <t>41-9</t>
  </si>
  <si>
    <t>41-10</t>
  </si>
  <si>
    <t>https://www.pref.saga.lg.jp/kiji00373884/3_73884_165986_up_k3iuu74x.pdf</t>
  </si>
  <si>
    <t>35-14</t>
  </si>
  <si>
    <t>28-151</t>
  </si>
  <si>
    <t>28-197</t>
  </si>
  <si>
    <t>https://web.pref.hyogo.lg.jp/kk03/corona_hasseijyokyo151-200.html</t>
  </si>
  <si>
    <t>28-198</t>
  </si>
  <si>
    <t>14-282</t>
  </si>
  <si>
    <t>他自治体の濃厚接触者</t>
  </si>
  <si>
    <t>https://www.pref.kanagawa.jp/documents/58277/200407_yokohama.pdf</t>
  </si>
  <si>
    <t>14-283</t>
  </si>
  <si>
    <t>17-21</t>
  </si>
  <si>
    <t>17-15</t>
  </si>
  <si>
    <t>同居者</t>
  </si>
  <si>
    <t>石川県</t>
  </si>
  <si>
    <t>金沢市</t>
  </si>
  <si>
    <t>https://www.pref.ishikawa.lg.jp/kansen/coronakennai.html</t>
  </si>
  <si>
    <t>17-22</t>
  </si>
  <si>
    <t>17-17</t>
  </si>
  <si>
    <t>17-25</t>
  </si>
  <si>
    <t>17-16</t>
  </si>
  <si>
    <t>北鉄金沢バス株式会社野々市営業所</t>
  </si>
  <si>
    <r>
      <t>https://www.pref.ishikawa.lg.jp/kansen/coronakennai.html;</t>
    </r>
    <r>
      <rPr>
        <color rgb="FF000000"/>
      </rPr>
      <t>http://www2.hokutetsu.co.jp/pdf/33772/33772.pdf</t>
    </r>
  </si>
  <si>
    <t>17-26</t>
  </si>
  <si>
    <r>
      <t>https://www.pref.ishikawa.lg.jp/kansen/coronakennai.html;</t>
    </r>
    <r>
      <rPr>
        <color rgb="FF000000"/>
      </rPr>
      <t>http://www2.hokutetsu.co.jp/pdf/33772/33772.pdf</t>
    </r>
  </si>
  <si>
    <t>愛知県熱田区のスポーツクラブC</t>
  </si>
  <si>
    <t>https://www.metro.tokyo.lg.jp/tosei/hodohappyo/press/2020/03/10/11.html</t>
  </si>
  <si>
    <t>工場</t>
  </si>
  <si>
    <t>東京都日野市の日野自動車本社に勤務する従業員</t>
  </si>
  <si>
    <t>https://www.netdenjd.com/articles/-/229714</t>
  </si>
  <si>
    <t>NTTドコモコールセンター</t>
  </si>
  <si>
    <t>https://www.nttdocomo.co.jp/info/news_release/detail/20200312_00_m.html</t>
  </si>
  <si>
    <t>https://mainichi.jp/articles/20200319/k00/00m/040/283000c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</si>
</sst>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yyyy/MM/dd"/>
    <numFmt numFmtId="165" formatCode="m-d"/>
    <numFmt numFmtId="166" formatCode="yyyy/mm/dd"/>
    <numFmt numFmtId="167" formatCode="yyyy-mm-dd"/>
  </numFmts>
  <fonts count="42">
    <font>
      <sz val="10.0"/>
      <color rgb="FF000000"/>
      <name val="Arial"/>
    </font>
    <font>
      <sz val="8.0"/>
      <color rgb="FFFFFFFF"/>
      <name val="Arial"/>
    </font>
    <font>
      <color theme="1"/>
      <name val="Arial"/>
    </font>
    <font>
      <u/>
      <color rgb="FF0000FF"/>
    </font>
    <font>
      <u/>
      <color rgb="FF1155CC"/>
      <name val="Arial"/>
    </font>
    <font/>
    <font>
      <u/>
      <color rgb="FF1155CC"/>
      <name val="Arial"/>
    </font>
    <font>
      <u/>
      <color rgb="FF1155CC"/>
      <name val="Arial"/>
    </font>
    <font>
      <name val="Arial"/>
    </font>
    <font>
      <u/>
      <color rgb="FF1155CC"/>
      <name val="Arial"/>
    </font>
    <font>
      <u/>
      <color rgb="FF1155CC"/>
      <name val="Arial"/>
    </font>
    <font>
      <u/>
      <color rgb="FF1155CC"/>
      <name val="Arial"/>
    </font>
    <font>
      <color rgb="FF000000"/>
    </font>
    <font>
      <u/>
      <color rgb="FF1155CC"/>
      <name val="Arial"/>
    </font>
    <font>
      <u/>
      <color rgb="FF0000FF"/>
    </font>
    <font>
      <u/>
      <color rgb="FF1155CC"/>
      <name val="Arial"/>
    </font>
    <font>
      <u/>
      <color rgb="FF1155CC"/>
      <name val="Arial"/>
    </font>
    <font>
      <u/>
      <color rgb="FF0000FF"/>
    </font>
    <font>
      <color rgb="FFFFFFFF"/>
      <name val="Arial"/>
    </font>
    <font>
      <u/>
      <color rgb="FF0000FF"/>
      <name val="Arial"/>
    </font>
    <font>
      <u/>
      <color rgb="FF0000FF"/>
      <name val="Arial"/>
    </font>
    <font>
      <u/>
      <color rgb="FF1155CC"/>
      <name val="Arial"/>
    </font>
    <font>
      <u/>
      <color rgb="FF0000FF"/>
      <name val="Arial"/>
    </font>
    <font>
      <u/>
      <color rgb="FF000000"/>
      <name val="Roboto"/>
    </font>
    <font>
      <color rgb="FF000000"/>
      <name val="Arial"/>
    </font>
    <font>
      <u/>
      <color rgb="FF1155CC"/>
      <name val="Arial"/>
    </font>
    <font>
      <u/>
      <color rgb="FF0000FF"/>
    </font>
    <font>
      <u/>
      <color rgb="FF0000FF"/>
    </font>
    <font>
      <sz val="10.0"/>
      <color theme="1"/>
      <name val="Arial"/>
    </font>
    <font>
      <sz val="10.0"/>
      <color rgb="FF333333"/>
      <name val="Arial"/>
    </font>
    <font>
      <u/>
      <color rgb="FF1155CC"/>
      <name val="Arial"/>
    </font>
    <font>
      <u/>
      <color rgb="FF1155CC"/>
      <name val="Arial"/>
    </font>
    <font>
      <u/>
      <color rgb="FF0000FF"/>
    </font>
    <font>
      <u/>
      <color rgb="FF0000FF"/>
    </font>
    <font>
      <u/>
      <color rgb="FF0000FF"/>
      <name val="Arial"/>
    </font>
    <font>
      <u/>
      <color rgb="FF1155CC"/>
      <name val="Arial"/>
    </font>
    <font>
      <u/>
      <color rgb="FF1155CC"/>
      <name val="Arial"/>
    </font>
    <font>
      <u/>
      <color rgb="FF1155CC"/>
      <name val="Arial"/>
    </font>
    <font>
      <u/>
      <color rgb="FF1155CC"/>
      <name val="Arial"/>
    </font>
    <font>
      <u/>
      <color rgb="FF1155CC"/>
      <name val="Arial"/>
    </font>
    <font>
      <u/>
      <color rgb="FF1155CC"/>
      <name val="Arial"/>
    </font>
    <font>
      <color rgb="FF000000"/>
      <name val="Roboto"/>
    </font>
  </fonts>
  <fills count="9">
    <fill>
      <patternFill patternType="none"/>
    </fill>
    <fill>
      <patternFill patternType="lightGray"/>
    </fill>
    <fill>
      <patternFill patternType="solid">
        <fgColor rgb="FF4A86E8"/>
        <bgColor rgb="FF4A86E8"/>
      </patternFill>
    </fill>
    <fill>
      <patternFill patternType="solid">
        <fgColor rgb="FFE8F0FE"/>
        <bgColor rgb="FFE8F0FE"/>
      </patternFill>
    </fill>
    <fill>
      <patternFill patternType="solid">
        <fgColor rgb="FF5B95F9"/>
        <bgColor rgb="FF5B95F9"/>
      </patternFill>
    </fill>
    <fill>
      <patternFill patternType="solid">
        <fgColor rgb="FFFFFFFF"/>
        <bgColor rgb="FFFFFFFF"/>
      </patternFill>
    </fill>
    <fill>
      <patternFill patternType="solid">
        <fgColor rgb="FFFCE5CD"/>
        <bgColor rgb="FFFCE5CD"/>
      </patternFill>
    </fill>
    <fill>
      <patternFill patternType="solid">
        <fgColor rgb="FFE06666"/>
        <bgColor rgb="FFE06666"/>
      </patternFill>
    </fill>
    <fill>
      <patternFill patternType="solid">
        <fgColor rgb="FFD9EAD3"/>
        <bgColor rgb="FFD9EAD3"/>
      </patternFill>
    </fill>
  </fills>
  <borders count="2">
    <border/>
    <border>
      <right/>
    </border>
  </borders>
  <cellStyleXfs count="1">
    <xf borderId="0" fillId="0" fontId="0" numFmtId="0" applyAlignment="1" applyFont="1"/>
  </cellStyleXfs>
  <cellXfs count="134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left" readingOrder="0" vertical="bottom"/>
    </xf>
    <xf borderId="0" fillId="0" fontId="2" numFmtId="0" xfId="0" applyAlignment="1" applyFont="1">
      <alignment readingOrder="0" shrinkToFit="0" vertical="bottom" wrapText="0"/>
    </xf>
    <xf borderId="0" fillId="2" fontId="1" numFmtId="0" xfId="0" applyAlignment="1" applyFont="1">
      <alignment horizontal="left" readingOrder="0" shrinkToFit="0" vertical="bottom" wrapText="0"/>
    </xf>
    <xf borderId="0" fillId="0" fontId="2" numFmtId="0" xfId="0" applyAlignment="1" applyFont="1">
      <alignment vertical="bottom"/>
    </xf>
    <xf borderId="0" fillId="0" fontId="2" numFmtId="0" xfId="0" applyAlignment="1" applyFont="1">
      <alignment shrinkToFit="0" vertical="bottom" wrapText="0"/>
    </xf>
    <xf borderId="0" fillId="0" fontId="2" numFmtId="0" xfId="0" applyAlignment="1" applyFont="1">
      <alignment readingOrder="0"/>
    </xf>
    <xf borderId="0" fillId="0" fontId="2" numFmtId="49" xfId="0" applyAlignment="1" applyFont="1" applyNumberFormat="1">
      <alignment horizontal="left" readingOrder="0" vertical="top"/>
    </xf>
    <xf borderId="0" fillId="0" fontId="2" numFmtId="49" xfId="0" applyAlignment="1" applyFont="1" applyNumberFormat="1">
      <alignment horizontal="left" readingOrder="0" shrinkToFit="0" vertical="top" wrapText="0"/>
    </xf>
    <xf borderId="0" fillId="0" fontId="2" numFmtId="164" xfId="0" applyAlignment="1" applyFont="1" applyNumberForma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2" numFmtId="0" xfId="0" applyFont="1"/>
    <xf borderId="0" fillId="0" fontId="4" numFmtId="0" xfId="0" applyAlignment="1" applyFont="1">
      <alignment shrinkToFit="0" vertical="bottom" wrapText="0"/>
    </xf>
    <xf borderId="0" fillId="0" fontId="5" numFmtId="49" xfId="0" applyAlignment="1" applyFont="1" applyNumberFormat="1">
      <alignment horizontal="left" readingOrder="0" vertical="top"/>
    </xf>
    <xf borderId="0" fillId="0" fontId="5" numFmtId="49" xfId="0" applyAlignment="1" applyFont="1" applyNumberFormat="1">
      <alignment horizontal="left" readingOrder="0" shrinkToFit="0" vertical="top" wrapText="0"/>
    </xf>
    <xf borderId="0" fillId="3" fontId="2" numFmtId="0" xfId="0" applyAlignment="1" applyFill="1" applyFont="1">
      <alignment vertical="top"/>
    </xf>
    <xf borderId="0" fillId="4" fontId="1" numFmtId="0" xfId="0" applyAlignment="1" applyFill="1" applyFont="1">
      <alignment vertical="bottom"/>
    </xf>
    <xf borderId="0" fillId="5" fontId="2" numFmtId="49" xfId="0" applyAlignment="1" applyFill="1" applyFont="1" applyNumberFormat="1">
      <alignment vertical="top"/>
    </xf>
    <xf borderId="0" fillId="6" fontId="2" numFmtId="164" xfId="0" applyAlignment="1" applyFill="1" applyFont="1" applyNumberFormat="1">
      <alignment vertical="top"/>
    </xf>
    <xf borderId="0" fillId="5" fontId="2" numFmtId="0" xfId="0" applyAlignment="1" applyFont="1">
      <alignment vertical="bottom"/>
    </xf>
    <xf borderId="0" fillId="5" fontId="2" numFmtId="0" xfId="0" applyAlignment="1" applyFont="1">
      <alignment vertical="top"/>
    </xf>
    <xf borderId="0" fillId="6" fontId="2" numFmtId="0" xfId="0" applyAlignment="1" applyFont="1">
      <alignment vertical="bottom"/>
    </xf>
    <xf borderId="0" fillId="0" fontId="2" numFmtId="0" xfId="0" applyAlignment="1" applyFont="1">
      <alignment horizontal="left" shrinkToFit="0" vertical="top" wrapText="0"/>
    </xf>
    <xf borderId="0" fillId="5" fontId="6" numFmtId="0" xfId="0" applyAlignment="1" applyFont="1">
      <alignment vertical="bottom"/>
    </xf>
    <xf borderId="0" fillId="3" fontId="2" numFmtId="49" xfId="0" applyAlignment="1" applyFont="1" applyNumberFormat="1">
      <alignment vertical="top"/>
    </xf>
    <xf borderId="0" fillId="3" fontId="2" numFmtId="0" xfId="0" applyAlignment="1" applyFont="1">
      <alignment vertical="bottom"/>
    </xf>
    <xf borderId="0" fillId="3" fontId="2" numFmtId="0" xfId="0" applyAlignment="1" applyFont="1">
      <alignment vertical="top"/>
    </xf>
    <xf borderId="0" fillId="3" fontId="2" numFmtId="0" xfId="0" applyAlignment="1" applyFont="1">
      <alignment shrinkToFit="0" vertical="top" wrapText="0"/>
    </xf>
    <xf borderId="0" fillId="3" fontId="7" numFmtId="0" xfId="0" applyAlignment="1" applyFont="1">
      <alignment vertical="bottom"/>
    </xf>
    <xf borderId="0" fillId="5" fontId="2" numFmtId="164" xfId="0" applyAlignment="1" applyFont="1" applyNumberFormat="1">
      <alignment vertical="top"/>
    </xf>
    <xf borderId="0" fillId="3" fontId="2" numFmtId="164" xfId="0" applyAlignment="1" applyFont="1" applyNumberFormat="1">
      <alignment vertical="top"/>
    </xf>
    <xf borderId="0" fillId="0" fontId="8" numFmtId="49" xfId="0" applyAlignment="1" applyFont="1" applyNumberFormat="1">
      <alignment horizontal="left" readingOrder="0" vertical="top"/>
    </xf>
    <xf borderId="0" fillId="0" fontId="8" numFmtId="49" xfId="0" applyAlignment="1" applyFont="1" applyNumberFormat="1">
      <alignment horizontal="left" readingOrder="0" shrinkToFit="0" vertical="top" wrapText="0"/>
    </xf>
    <xf borderId="0" fillId="0" fontId="2" numFmtId="0" xfId="0" applyAlignment="1" applyFont="1">
      <alignment readingOrder="0" vertical="bottom"/>
    </xf>
    <xf borderId="0" fillId="0" fontId="2" numFmtId="0" xfId="0" applyAlignment="1" applyFont="1">
      <alignment readingOrder="0" shrinkToFit="0" vertical="bottom" wrapText="0"/>
    </xf>
    <xf borderId="0" fillId="0" fontId="9" numFmtId="0" xfId="0" applyAlignment="1" applyFont="1">
      <alignment readingOrder="0" shrinkToFit="0" vertical="bottom" wrapText="0"/>
    </xf>
    <xf borderId="0" fillId="0" fontId="2" numFmtId="165" xfId="0" applyFont="1" applyNumberFormat="1"/>
    <xf borderId="0" fillId="3" fontId="10" numFmtId="0" xfId="0" applyAlignment="1" applyFont="1">
      <alignment vertical="top"/>
    </xf>
    <xf borderId="0" fillId="5" fontId="11" numFmtId="0" xfId="0" applyAlignment="1" applyFont="1">
      <alignment vertical="top"/>
    </xf>
    <xf borderId="0" fillId="0" fontId="2" numFmtId="49" xfId="0" applyAlignment="1" applyFont="1" applyNumberFormat="1">
      <alignment horizontal="left" shrinkToFit="0" vertical="top" wrapText="0"/>
    </xf>
    <xf borderId="0" fillId="6" fontId="2" numFmtId="0" xfId="0" applyAlignment="1" applyFont="1">
      <alignment vertical="top"/>
    </xf>
    <xf borderId="0" fillId="0" fontId="12" numFmtId="0" xfId="0" applyAlignment="1" applyFont="1">
      <alignment horizontal="left" readingOrder="0" shrinkToFit="0" vertical="top" wrapText="0"/>
    </xf>
    <xf borderId="0" fillId="0" fontId="13" numFmtId="0" xfId="0" applyAlignment="1" applyFont="1">
      <alignment horizontal="left" readingOrder="0" shrinkToFit="0" vertical="top" wrapText="0"/>
    </xf>
    <xf borderId="0" fillId="5" fontId="2" numFmtId="49" xfId="0" applyAlignment="1" applyFont="1" applyNumberFormat="1">
      <alignment readingOrder="0" shrinkToFit="0" vertical="top" wrapText="0"/>
    </xf>
    <xf borderId="0" fillId="5" fontId="2" numFmtId="164" xfId="0" applyAlignment="1" applyFont="1" applyNumberFormat="1">
      <alignment vertical="top"/>
    </xf>
    <xf borderId="0" fillId="7" fontId="2" numFmtId="0" xfId="0" applyAlignment="1" applyFill="1" applyFont="1">
      <alignment readingOrder="0" vertical="top"/>
    </xf>
    <xf borderId="0" fillId="5" fontId="2" numFmtId="0" xfId="0" applyAlignment="1" applyFont="1">
      <alignment shrinkToFit="0" vertical="top" wrapText="0"/>
    </xf>
    <xf borderId="0" fillId="0" fontId="14" numFmtId="0" xfId="0" applyAlignment="1" applyFont="1">
      <alignment readingOrder="0"/>
    </xf>
    <xf borderId="0" fillId="0" fontId="2" numFmtId="165" xfId="0" applyAlignment="1" applyFont="1" applyNumberFormat="1">
      <alignment horizontal="right" vertical="bottom"/>
    </xf>
    <xf borderId="0" fillId="0" fontId="2" numFmtId="0" xfId="0" applyAlignment="1" applyFont="1">
      <alignment horizontal="right" vertical="bottom"/>
    </xf>
    <xf borderId="0" fillId="5" fontId="8" numFmtId="165" xfId="0" applyAlignment="1" applyFont="1" applyNumberFormat="1">
      <alignment horizontal="left" readingOrder="0" vertical="bottom"/>
    </xf>
    <xf borderId="0" fillId="5" fontId="8" numFmtId="165" xfId="0" applyAlignment="1" applyFont="1" applyNumberFormat="1">
      <alignment horizontal="left" readingOrder="0" shrinkToFit="0" vertical="bottom" wrapText="0"/>
    </xf>
    <xf borderId="0" fillId="6" fontId="2" numFmtId="14" xfId="0" applyAlignment="1" applyFont="1" applyNumberFormat="1">
      <alignment vertical="bottom"/>
    </xf>
    <xf borderId="0" fillId="5" fontId="2" numFmtId="0" xfId="0" applyAlignment="1" applyFont="1">
      <alignment vertical="top"/>
    </xf>
    <xf borderId="0" fillId="5" fontId="15" numFmtId="0" xfId="0" applyAlignment="1" applyFont="1">
      <alignment vertical="bottom"/>
    </xf>
    <xf borderId="0" fillId="3" fontId="8" numFmtId="165" xfId="0" applyAlignment="1" applyFont="1" applyNumberFormat="1">
      <alignment horizontal="left" readingOrder="0" vertical="bottom"/>
    </xf>
    <xf borderId="0" fillId="3" fontId="8" numFmtId="165" xfId="0" applyAlignment="1" applyFont="1" applyNumberFormat="1">
      <alignment horizontal="left" readingOrder="0" shrinkToFit="0" vertical="bottom" wrapText="0"/>
    </xf>
    <xf borderId="0" fillId="3" fontId="16" numFmtId="0" xfId="0" applyAlignment="1" applyFont="1">
      <alignment vertical="bottom"/>
    </xf>
    <xf borderId="0" fillId="6" fontId="2" numFmtId="14" xfId="0" applyAlignment="1" applyFont="1" applyNumberFormat="1">
      <alignment vertical="bottom"/>
    </xf>
    <xf borderId="0" fillId="0" fontId="2" numFmtId="14" xfId="0" applyAlignment="1" applyFont="1" applyNumberFormat="1">
      <alignment horizontal="left" readingOrder="0" vertical="top"/>
    </xf>
    <xf borderId="0" fillId="6" fontId="2" numFmtId="14" xfId="0" applyAlignment="1" applyFont="1" applyNumberFormat="1">
      <alignment vertical="top"/>
    </xf>
    <xf borderId="0" fillId="0" fontId="2" numFmtId="0" xfId="0" applyAlignment="1" applyFont="1">
      <alignment horizontal="left" shrinkToFit="0" vertical="top" wrapText="0"/>
    </xf>
    <xf borderId="0" fillId="0" fontId="17" numFmtId="0" xfId="0" applyAlignment="1" applyFont="1">
      <alignment readingOrder="0" shrinkToFit="0" wrapText="0"/>
    </xf>
    <xf borderId="0" fillId="5" fontId="2" numFmtId="0" xfId="0" applyAlignment="1" applyFont="1">
      <alignment readingOrder="0" vertical="top"/>
    </xf>
    <xf borderId="0" fillId="7" fontId="18" numFmtId="0" xfId="0" applyAlignment="1" applyFont="1">
      <alignment vertical="top"/>
    </xf>
    <xf borderId="0" fillId="0" fontId="19" numFmtId="0" xfId="0" applyAlignment="1" applyFont="1">
      <alignment readingOrder="0" shrinkToFit="0" vertical="bottom" wrapText="0"/>
    </xf>
    <xf borderId="0" fillId="0" fontId="20" numFmtId="0" xfId="0" applyAlignment="1" applyFont="1">
      <alignment horizontal="left" readingOrder="0" shrinkToFit="0" vertical="top" wrapText="0"/>
    </xf>
    <xf borderId="0" fillId="0" fontId="5" numFmtId="0" xfId="0" applyAlignment="1" applyFont="1">
      <alignment readingOrder="0"/>
    </xf>
    <xf borderId="0" fillId="5" fontId="8" numFmtId="49" xfId="0" applyAlignment="1" applyFont="1" applyNumberFormat="1">
      <alignment readingOrder="0" vertical="top"/>
    </xf>
    <xf borderId="0" fillId="5" fontId="8" numFmtId="49" xfId="0" applyAlignment="1" applyFont="1" applyNumberFormat="1">
      <alignment readingOrder="0" shrinkToFit="0" vertical="top" wrapText="0"/>
    </xf>
    <xf borderId="0" fillId="6" fontId="2" numFmtId="164" xfId="0" applyAlignment="1" applyFont="1" applyNumberFormat="1">
      <alignment vertical="top"/>
    </xf>
    <xf borderId="0" fillId="5" fontId="21" numFmtId="0" xfId="0" applyAlignment="1" applyFont="1">
      <alignment readingOrder="0" shrinkToFit="0" vertical="top" wrapText="0"/>
    </xf>
    <xf borderId="0" fillId="0" fontId="2" numFmtId="0" xfId="0" applyAlignment="1" applyFont="1">
      <alignment shrinkToFit="0" wrapText="0"/>
    </xf>
    <xf borderId="0" fillId="0" fontId="5" numFmtId="0" xfId="0" applyAlignment="1" applyFont="1">
      <alignment readingOrder="0" shrinkToFit="0" wrapText="0"/>
    </xf>
    <xf borderId="0" fillId="8" fontId="22" numFmtId="0" xfId="0" applyAlignment="1" applyFill="1" applyFont="1">
      <alignment horizontal="left" readingOrder="0" shrinkToFit="0" vertical="top" wrapText="0"/>
    </xf>
    <xf borderId="0" fillId="5" fontId="2" numFmtId="164" xfId="0" applyAlignment="1" applyFont="1" applyNumberFormat="1">
      <alignment horizontal="left" readingOrder="0" vertical="top"/>
    </xf>
    <xf borderId="0" fillId="5" fontId="2" numFmtId="0" xfId="0" applyAlignment="1" applyFont="1">
      <alignment readingOrder="0" shrinkToFit="0" vertical="top" wrapText="0"/>
    </xf>
    <xf borderId="0" fillId="5" fontId="23" numFmtId="0" xfId="0" applyAlignment="1" applyFont="1">
      <alignment readingOrder="0" shrinkToFit="0" wrapText="0"/>
    </xf>
    <xf borderId="0" fillId="3" fontId="24" numFmtId="49" xfId="0" applyAlignment="1" applyFont="1" applyNumberFormat="1">
      <alignment horizontal="left" readingOrder="0"/>
    </xf>
    <xf borderId="0" fillId="3" fontId="8" numFmtId="49" xfId="0" applyAlignment="1" applyFont="1" applyNumberFormat="1">
      <alignment readingOrder="0" shrinkToFit="0" vertical="top" wrapText="0"/>
    </xf>
    <xf borderId="0" fillId="6" fontId="2" numFmtId="164" xfId="0" applyAlignment="1" applyFont="1" applyNumberFormat="1">
      <alignment readingOrder="0" vertical="top"/>
    </xf>
    <xf borderId="0" fillId="0" fontId="2" numFmtId="49" xfId="0" applyAlignment="1" applyFont="1" applyNumberFormat="1">
      <alignment shrinkToFit="0" wrapText="0"/>
    </xf>
    <xf borderId="0" fillId="7" fontId="18" numFmtId="0" xfId="0" applyAlignment="1" applyFont="1">
      <alignment shrinkToFit="0" vertical="top" wrapText="0"/>
    </xf>
    <xf borderId="0" fillId="5" fontId="25" numFmtId="0" xfId="0" applyAlignment="1" applyFont="1">
      <alignment shrinkToFit="0" vertical="top" wrapText="0"/>
    </xf>
    <xf borderId="0" fillId="0" fontId="5" numFmtId="49" xfId="0" applyAlignment="1" applyFont="1" applyNumberFormat="1">
      <alignment readingOrder="0" shrinkToFit="0" wrapText="0"/>
    </xf>
    <xf borderId="0" fillId="0" fontId="26" numFmtId="0" xfId="0" applyAlignment="1" applyFont="1">
      <alignment readingOrder="0" shrinkToFit="0" vertical="top" wrapText="0"/>
    </xf>
    <xf borderId="0" fillId="0" fontId="2" numFmtId="49" xfId="0" applyAlignment="1" applyFont="1" applyNumberFormat="1">
      <alignment readingOrder="0" shrinkToFit="0" wrapText="0"/>
    </xf>
    <xf borderId="0" fillId="5" fontId="2" numFmtId="49" xfId="0" applyAlignment="1" applyFont="1" applyNumberFormat="1">
      <alignment readingOrder="0" vertical="top"/>
    </xf>
    <xf borderId="0" fillId="5" fontId="24" numFmtId="49" xfId="0" applyAlignment="1" applyFont="1" applyNumberFormat="1">
      <alignment horizontal="left" readingOrder="0" shrinkToFit="0" wrapText="0"/>
    </xf>
    <xf borderId="1" fillId="0" fontId="27" numFmtId="0" xfId="0" applyAlignment="1" applyBorder="1" applyFont="1">
      <alignment readingOrder="0"/>
    </xf>
    <xf borderId="0" fillId="0" fontId="2" numFmtId="0" xfId="0" applyAlignment="1" applyFont="1">
      <alignment horizontal="left" readingOrder="0" shrinkToFit="0" vertical="bottom" wrapText="0"/>
    </xf>
    <xf borderId="0" fillId="0" fontId="28" numFmtId="0" xfId="0" applyAlignment="1" applyFont="1">
      <alignment horizontal="left" readingOrder="0" shrinkToFit="0" vertical="top" wrapText="0"/>
    </xf>
    <xf borderId="0" fillId="0" fontId="5" numFmtId="49" xfId="0" applyAlignment="1" applyFont="1" applyNumberFormat="1">
      <alignment readingOrder="0"/>
    </xf>
    <xf borderId="0" fillId="5" fontId="29" numFmtId="0" xfId="0" applyAlignment="1" applyFont="1">
      <alignment readingOrder="0"/>
    </xf>
    <xf borderId="0" fillId="3" fontId="30" numFmtId="0" xfId="0" applyAlignment="1" applyFont="1">
      <alignment readingOrder="0" shrinkToFit="0" vertical="top" wrapText="0"/>
    </xf>
    <xf borderId="1" fillId="3" fontId="31" numFmtId="0" xfId="0" applyAlignment="1" applyBorder="1" applyFont="1">
      <alignment readingOrder="0" shrinkToFit="0" vertical="top" wrapText="0"/>
    </xf>
    <xf borderId="0" fillId="7" fontId="18" numFmtId="0" xfId="0" applyAlignment="1" applyFont="1">
      <alignment vertical="bottom"/>
    </xf>
    <xf borderId="0" fillId="5" fontId="2" numFmtId="0" xfId="0" applyAlignment="1" applyFont="1">
      <alignment vertical="bottom"/>
    </xf>
    <xf borderId="1" fillId="0" fontId="32" numFmtId="0" xfId="0" applyAlignment="1" applyBorder="1" applyFont="1">
      <alignment readingOrder="0" shrinkToFit="0" wrapText="0"/>
    </xf>
    <xf borderId="1" fillId="0" fontId="33" numFmtId="0" xfId="0" applyAlignment="1" applyBorder="1" applyFont="1">
      <alignment horizontal="left" readingOrder="0" shrinkToFit="0" vertical="top" wrapText="0"/>
    </xf>
    <xf borderId="1" fillId="0" fontId="5" numFmtId="0" xfId="0" applyAlignment="1" applyBorder="1" applyFont="1">
      <alignment readingOrder="0" shrinkToFit="0" wrapText="0"/>
    </xf>
    <xf borderId="1" fillId="0" fontId="34" numFmtId="0" xfId="0" applyAlignment="1" applyBorder="1" applyFont="1">
      <alignment horizontal="left" readingOrder="0" shrinkToFit="0" vertical="top" wrapText="0"/>
    </xf>
    <xf borderId="1" fillId="5" fontId="35" numFmtId="0" xfId="0" applyAlignment="1" applyBorder="1" applyFont="1">
      <alignment readingOrder="0" shrinkToFit="0" vertical="top" wrapText="0"/>
    </xf>
    <xf borderId="1" fillId="0" fontId="8" numFmtId="0" xfId="0" applyAlignment="1" applyBorder="1" applyFont="1">
      <alignment horizontal="left" readingOrder="0" shrinkToFit="0" vertical="top" wrapText="0"/>
    </xf>
    <xf borderId="0" fillId="5" fontId="8" numFmtId="49" xfId="0" applyAlignment="1" applyFont="1" applyNumberFormat="1">
      <alignment readingOrder="0" vertical="bottom"/>
    </xf>
    <xf borderId="0" fillId="5" fontId="8" numFmtId="49" xfId="0" applyAlignment="1" applyFont="1" applyNumberFormat="1">
      <alignment readingOrder="0" shrinkToFit="0" vertical="bottom" wrapText="0"/>
    </xf>
    <xf borderId="0" fillId="6" fontId="2" numFmtId="164" xfId="0" applyAlignment="1" applyFont="1" applyNumberFormat="1">
      <alignment horizontal="left" readingOrder="0" vertical="top"/>
    </xf>
    <xf borderId="0" fillId="5" fontId="2" numFmtId="0" xfId="0" applyAlignment="1" applyFont="1">
      <alignment vertical="bottom"/>
    </xf>
    <xf borderId="1" fillId="3" fontId="36" numFmtId="0" xfId="0" applyAlignment="1" applyBorder="1" applyFont="1">
      <alignment shrinkToFit="0" vertical="top" wrapText="0"/>
    </xf>
    <xf borderId="1" fillId="0" fontId="5" numFmtId="0" xfId="0" applyAlignment="1" applyBorder="1" applyFont="1">
      <alignment readingOrder="0"/>
    </xf>
    <xf borderId="1" fillId="5" fontId="37" numFmtId="0" xfId="0" applyAlignment="1" applyBorder="1" applyFont="1">
      <alignment readingOrder="0" shrinkToFit="0" vertical="top" wrapText="0"/>
    </xf>
    <xf borderId="1" fillId="0" fontId="38" numFmtId="0" xfId="0" applyAlignment="1" applyBorder="1" applyFont="1">
      <alignment readingOrder="0" shrinkToFit="0" vertical="bottom" wrapText="0"/>
    </xf>
    <xf borderId="0" fillId="0" fontId="2" numFmtId="0" xfId="0" applyAlignment="1" applyFont="1">
      <alignment readingOrder="0" shrinkToFit="0" wrapText="0"/>
    </xf>
    <xf borderId="0" fillId="0" fontId="2" numFmtId="0" xfId="0" applyAlignment="1" applyFont="1">
      <alignment shrinkToFit="0" wrapText="0"/>
    </xf>
    <xf borderId="0" fillId="5" fontId="39" numFmtId="0" xfId="0" applyAlignment="1" applyFont="1">
      <alignment shrinkToFit="0" vertical="top" wrapText="0"/>
    </xf>
    <xf borderId="0" fillId="3" fontId="40" numFmtId="0" xfId="0" applyAlignment="1" applyFont="1">
      <alignment shrinkToFit="0" vertical="top" wrapText="0"/>
    </xf>
    <xf borderId="0" fillId="5" fontId="2" numFmtId="0" xfId="0" applyAlignment="1" applyFont="1">
      <alignment vertical="top"/>
    </xf>
    <xf borderId="0" fillId="7" fontId="18" numFmtId="0" xfId="0" applyAlignment="1" applyFont="1">
      <alignment vertical="top"/>
    </xf>
    <xf borderId="0" fillId="5" fontId="2" numFmtId="0" xfId="0" applyAlignment="1" applyFont="1">
      <alignment shrinkToFit="0" vertical="top" wrapText="0"/>
    </xf>
    <xf borderId="0" fillId="5" fontId="41" numFmtId="0" xfId="0" applyAlignment="1" applyFont="1">
      <alignment readingOrder="0"/>
    </xf>
    <xf borderId="0" fillId="0" fontId="2" numFmtId="166" xfId="0" applyAlignment="1" applyFont="1" applyNumberFormat="1">
      <alignment horizontal="left" readingOrder="0"/>
    </xf>
    <xf borderId="0" fillId="3" fontId="2" numFmtId="0" xfId="0" applyAlignment="1" applyFont="1">
      <alignment readingOrder="0" vertical="top"/>
    </xf>
    <xf borderId="0" fillId="3" fontId="2" numFmtId="0" xfId="0" applyAlignment="1" applyFont="1">
      <alignment readingOrder="0" shrinkToFit="0" vertical="top" wrapText="0"/>
    </xf>
    <xf borderId="0" fillId="0" fontId="24" numFmtId="0" xfId="0" applyAlignment="1" applyFont="1">
      <alignment readingOrder="0" shrinkToFit="0" vertical="bottom" wrapText="0"/>
    </xf>
    <xf borderId="0" fillId="0" fontId="5" numFmtId="0" xfId="0" applyAlignment="1" applyFont="1">
      <alignment horizontal="left" readingOrder="0" vertical="top"/>
    </xf>
    <xf borderId="0" fillId="0" fontId="5" numFmtId="0" xfId="0" applyAlignment="1" applyFont="1">
      <alignment horizontal="left" readingOrder="0" shrinkToFit="0" vertical="top" wrapText="0"/>
    </xf>
    <xf borderId="0" fillId="0" fontId="0" numFmtId="0" xfId="0" applyAlignment="1" applyFont="1">
      <alignment horizontal="left" readingOrder="0" shrinkToFit="0" vertical="top" wrapText="0"/>
    </xf>
    <xf borderId="0" fillId="0" fontId="2" numFmtId="167" xfId="0" applyAlignment="1" applyFont="1" applyNumberFormat="1">
      <alignment horizontal="left" readingOrder="0" vertical="top"/>
    </xf>
    <xf borderId="0" fillId="0" fontId="2" numFmtId="49" xfId="0" applyAlignment="1" applyFont="1" applyNumberFormat="1">
      <alignment readingOrder="0"/>
    </xf>
    <xf borderId="0" fillId="0" fontId="2" numFmtId="166" xfId="0" applyAlignment="1" applyFont="1" applyNumberFormat="1">
      <alignment horizontal="left" readingOrder="0" vertical="top"/>
    </xf>
    <xf borderId="0" fillId="0" fontId="2" numFmtId="49" xfId="0" applyAlignment="1" applyFont="1" applyNumberFormat="1">
      <alignment horizontal="left" vertical="top"/>
    </xf>
    <xf borderId="0" fillId="0" fontId="2" numFmtId="0" xfId="0" applyAlignment="1" applyFont="1">
      <alignment horizontal="left" vertical="top"/>
    </xf>
  </cellXfs>
  <cellStyles count="1">
    <cellStyle xfId="0" name="Normal" builtinId="0"/>
  </cellStyles>
  <dxfs count="6">
    <dxf>
      <font>
        <color rgb="FFFFFFFF"/>
      </font>
      <fill>
        <patternFill patternType="solid">
          <fgColor rgb="FFE06666"/>
          <bgColor rgb="FFE06666"/>
        </patternFill>
      </fill>
      <border/>
    </dxf>
    <dxf>
      <font/>
      <fill>
        <patternFill patternType="solid">
          <fgColor rgb="FFFCE5CD"/>
          <bgColor rgb="FFFCE5CD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5B95F9"/>
          <bgColor rgb="FF5B95F9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E8F0FE"/>
          <bgColor rgb="FFE8F0FE"/>
        </patternFill>
      </fill>
      <border/>
    </dxf>
  </dxfs>
  <tableStyles count="1">
    <tableStyle count="3" pivot="0" name="罹患者関係-style">
      <tableStyleElement dxfId="3" type="headerRow"/>
      <tableStyleElement dxfId="4" type="firstRowStripe"/>
      <tableStyleElement dxfId="5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16</xdr:row>
      <xdr:rowOff>28575</xdr:rowOff>
    </xdr:from>
    <xdr:ext cx="6619875" cy="3733800"/>
    <xdr:pic>
      <xdr:nvPicPr>
        <xdr:cNvPr id="0" name="image1.png" title="画像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438150</xdr:colOff>
      <xdr:row>16</xdr:row>
      <xdr:rowOff>28575</xdr:rowOff>
    </xdr:from>
    <xdr:ext cx="6696075" cy="3733800"/>
    <xdr:pic>
      <xdr:nvPicPr>
        <xdr:cNvPr id="0" name="image2.png" title="画像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790575</xdr:colOff>
      <xdr:row>16</xdr:row>
      <xdr:rowOff>28575</xdr:rowOff>
    </xdr:from>
    <xdr:ext cx="6276975" cy="3733800"/>
    <xdr:pic>
      <xdr:nvPicPr>
        <xdr:cNvPr id="0" name="image3.png" title="画像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ref="A1:G3891" displayName="Table_1" id="1">
  <tableColumns count="7">
    <tableColumn name="都道府県症例番号1" id="1"/>
    <tableColumn name="都道府県症例番号2" id="2"/>
    <tableColumn name="接触日" id="3"/>
    <tableColumn name="関係性" id="4"/>
    <tableColumn name="都道府県" id="5"/>
    <tableColumn name="場所" id="6"/>
    <tableColumn name="情報源" id="7"/>
  </tableColumns>
  <tableStyleInfo name="罹患者関係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tokai-tv.com/newsone/covid-19/newsList.php" TargetMode="External"/><Relationship Id="rId42" Type="http://schemas.openxmlformats.org/officeDocument/2006/relationships/hyperlink" Target="https://www.tokai-tv.com/newsone/covid-19/newsList.php" TargetMode="External"/><Relationship Id="rId41" Type="http://schemas.openxmlformats.org/officeDocument/2006/relationships/hyperlink" Target="https://www.tokai-tv.com/newsone/covid-19/newsList.php" TargetMode="External"/><Relationship Id="rId44" Type="http://schemas.openxmlformats.org/officeDocument/2006/relationships/hyperlink" Target="https://www.tokai-tv.com/newsone/covid-19/newsList.php" TargetMode="External"/><Relationship Id="rId43" Type="http://schemas.openxmlformats.org/officeDocument/2006/relationships/hyperlink" Target="https://www.tokai-tv.com/newsone/covid-19/newsList.php" TargetMode="External"/><Relationship Id="rId46" Type="http://schemas.openxmlformats.org/officeDocument/2006/relationships/hyperlink" Target="https://www.tokai-tv.com/newsone/covid-19/newsList.php" TargetMode="External"/><Relationship Id="rId45" Type="http://schemas.openxmlformats.org/officeDocument/2006/relationships/hyperlink" Target="https://www.tokai-tv.com/newsone/covid-19/newsList.php" TargetMode="External"/><Relationship Id="rId107" Type="http://schemas.openxmlformats.org/officeDocument/2006/relationships/hyperlink" Target="https://www.tokai-tv.com/newsone/covid-19/newsList.php" TargetMode="External"/><Relationship Id="rId106" Type="http://schemas.openxmlformats.org/officeDocument/2006/relationships/hyperlink" Target="https://www.tokai-tv.com/newsone/covid-19/newsList.php" TargetMode="External"/><Relationship Id="rId105" Type="http://schemas.openxmlformats.org/officeDocument/2006/relationships/hyperlink" Target="https://www.tokai-tv.com/newsone/covid-19/newsList.php" TargetMode="External"/><Relationship Id="rId104" Type="http://schemas.openxmlformats.org/officeDocument/2006/relationships/hyperlink" Target="https://www.tokai-tv.com/newsone/covid-19/newsList.php" TargetMode="External"/><Relationship Id="rId109" Type="http://schemas.openxmlformats.org/officeDocument/2006/relationships/hyperlink" Target="https://www.tokai-tv.com/newsone/covid-19/newsList.php" TargetMode="External"/><Relationship Id="rId108" Type="http://schemas.openxmlformats.org/officeDocument/2006/relationships/hyperlink" Target="https://www.tokai-tv.com/newsone/covid-19/newsList.php" TargetMode="External"/><Relationship Id="rId48" Type="http://schemas.openxmlformats.org/officeDocument/2006/relationships/hyperlink" Target="https://www.tokai-tv.com/newsone/covid-19/newsList.php" TargetMode="External"/><Relationship Id="rId47" Type="http://schemas.openxmlformats.org/officeDocument/2006/relationships/hyperlink" Target="https://www.tokai-tv.com/newsone/covid-19/newsList.php" TargetMode="External"/><Relationship Id="rId49" Type="http://schemas.openxmlformats.org/officeDocument/2006/relationships/hyperlink" Target="https://www.tokai-tv.com/newsone/covid-19/newsList.php" TargetMode="External"/><Relationship Id="rId103" Type="http://schemas.openxmlformats.org/officeDocument/2006/relationships/hyperlink" Target="https://www.tokai-tv.com/newsone/covid-19/newsList.php" TargetMode="External"/><Relationship Id="rId102" Type="http://schemas.openxmlformats.org/officeDocument/2006/relationships/hyperlink" Target="https://www.tokai-tv.com/newsone/covid-19/newsList.php" TargetMode="External"/><Relationship Id="rId101" Type="http://schemas.openxmlformats.org/officeDocument/2006/relationships/hyperlink" Target="https://www.tokai-tv.com/newsone/covid-19/newsList.php" TargetMode="External"/><Relationship Id="rId100" Type="http://schemas.openxmlformats.org/officeDocument/2006/relationships/hyperlink" Target="https://www.tokai-tv.com/newsone/covid-19/newsList.php" TargetMode="External"/><Relationship Id="rId31" Type="http://schemas.openxmlformats.org/officeDocument/2006/relationships/hyperlink" Target="https://www.tokai-tv.com/newsone/covid-19/newsList.php" TargetMode="External"/><Relationship Id="rId30" Type="http://schemas.openxmlformats.org/officeDocument/2006/relationships/hyperlink" Target="https://www.tokai-tv.com/newsone/covid-19/newsList.php" TargetMode="External"/><Relationship Id="rId33" Type="http://schemas.openxmlformats.org/officeDocument/2006/relationships/hyperlink" Target="https://www.tokai-tv.com/newsone/covid-19/newsList.php" TargetMode="External"/><Relationship Id="rId32" Type="http://schemas.openxmlformats.org/officeDocument/2006/relationships/hyperlink" Target="https://www.tokai-tv.com/newsone/covid-19/newsList.php" TargetMode="External"/><Relationship Id="rId35" Type="http://schemas.openxmlformats.org/officeDocument/2006/relationships/hyperlink" Target="https://www.tokai-tv.com/newsone/covid-19/newsList.php" TargetMode="External"/><Relationship Id="rId34" Type="http://schemas.openxmlformats.org/officeDocument/2006/relationships/hyperlink" Target="https://www.tokai-tv.com/newsone/covid-19/newsList.php" TargetMode="External"/><Relationship Id="rId37" Type="http://schemas.openxmlformats.org/officeDocument/2006/relationships/hyperlink" Target="https://www.tokai-tv.com/newsone/covid-19/newsList.php" TargetMode="External"/><Relationship Id="rId36" Type="http://schemas.openxmlformats.org/officeDocument/2006/relationships/hyperlink" Target="https://www.tokai-tv.com/newsone/covid-19/newsList.php" TargetMode="External"/><Relationship Id="rId39" Type="http://schemas.openxmlformats.org/officeDocument/2006/relationships/hyperlink" Target="https://www.tokai-tv.com/newsone/covid-19/newsList.php" TargetMode="External"/><Relationship Id="rId38" Type="http://schemas.openxmlformats.org/officeDocument/2006/relationships/hyperlink" Target="https://www.tokai-tv.com/newsone/covid-19/newsList.php" TargetMode="External"/><Relationship Id="rId20" Type="http://schemas.openxmlformats.org/officeDocument/2006/relationships/hyperlink" Target="https://www.tokai-tv.com/newsone/covid-19/newsList.php" TargetMode="External"/><Relationship Id="rId22" Type="http://schemas.openxmlformats.org/officeDocument/2006/relationships/hyperlink" Target="https://www.tokai-tv.com/newsone/covid-19/newsList.php" TargetMode="External"/><Relationship Id="rId21" Type="http://schemas.openxmlformats.org/officeDocument/2006/relationships/hyperlink" Target="https://www.tokai-tv.com/newsone/covid-19/newsList.php" TargetMode="External"/><Relationship Id="rId24" Type="http://schemas.openxmlformats.org/officeDocument/2006/relationships/hyperlink" Target="https://www.tokai-tv.com/newsone/covid-19/newsList.php" TargetMode="External"/><Relationship Id="rId23" Type="http://schemas.openxmlformats.org/officeDocument/2006/relationships/hyperlink" Target="https://www.tokai-tv.com/newsone/covid-19/newsList.php" TargetMode="External"/><Relationship Id="rId129" Type="http://schemas.openxmlformats.org/officeDocument/2006/relationships/hyperlink" Target="https://www.tokai-tv.com/newsone/covid-19/newsList.php" TargetMode="External"/><Relationship Id="rId128" Type="http://schemas.openxmlformats.org/officeDocument/2006/relationships/hyperlink" Target="https://www.tokai-tv.com/newsone/covid-19/newsList.php" TargetMode="External"/><Relationship Id="rId127" Type="http://schemas.openxmlformats.org/officeDocument/2006/relationships/hyperlink" Target="https://www.tokai-tv.com/newsone/covid-19/newsList.php" TargetMode="External"/><Relationship Id="rId126" Type="http://schemas.openxmlformats.org/officeDocument/2006/relationships/hyperlink" Target="https://www.tokai-tv.com/newsone/covid-19/newsList.php" TargetMode="External"/><Relationship Id="rId26" Type="http://schemas.openxmlformats.org/officeDocument/2006/relationships/hyperlink" Target="https://www.tokai-tv.com/newsone/covid-19/newsList.php" TargetMode="External"/><Relationship Id="rId121" Type="http://schemas.openxmlformats.org/officeDocument/2006/relationships/hyperlink" Target="https://www.tokai-tv.com/newsone/covid-19/newsList.php" TargetMode="External"/><Relationship Id="rId25" Type="http://schemas.openxmlformats.org/officeDocument/2006/relationships/hyperlink" Target="https://www.tokai-tv.com/newsone/covid-19/newsList.php" TargetMode="External"/><Relationship Id="rId120" Type="http://schemas.openxmlformats.org/officeDocument/2006/relationships/hyperlink" Target="https://www.tokai-tv.com/newsone/covid-19/newsList.php" TargetMode="External"/><Relationship Id="rId28" Type="http://schemas.openxmlformats.org/officeDocument/2006/relationships/hyperlink" Target="https://www.tokai-tv.com/newsone/covid-19/newsList.php" TargetMode="External"/><Relationship Id="rId27" Type="http://schemas.openxmlformats.org/officeDocument/2006/relationships/hyperlink" Target="https://www.tokai-tv.com/newsone/covid-19/newsList.php" TargetMode="External"/><Relationship Id="rId125" Type="http://schemas.openxmlformats.org/officeDocument/2006/relationships/hyperlink" Target="https://www.tokai-tv.com/newsone/covid-19/newsList.php" TargetMode="External"/><Relationship Id="rId29" Type="http://schemas.openxmlformats.org/officeDocument/2006/relationships/hyperlink" Target="https://www.tokai-tv.com/newsone/covid-19/newsList.php" TargetMode="External"/><Relationship Id="rId124" Type="http://schemas.openxmlformats.org/officeDocument/2006/relationships/hyperlink" Target="https://www.tokai-tv.com/newsone/covid-19/newsList.php" TargetMode="External"/><Relationship Id="rId123" Type="http://schemas.openxmlformats.org/officeDocument/2006/relationships/hyperlink" Target="https://www.tokai-tv.com/newsone/covid-19/newsList.php" TargetMode="External"/><Relationship Id="rId122" Type="http://schemas.openxmlformats.org/officeDocument/2006/relationships/hyperlink" Target="https://www.tokai-tv.com/newsone/covid-19/newsList.php" TargetMode="External"/><Relationship Id="rId95" Type="http://schemas.openxmlformats.org/officeDocument/2006/relationships/hyperlink" Target="https://www.tokai-tv.com/newsone/covid-19/newsList.php" TargetMode="External"/><Relationship Id="rId94" Type="http://schemas.openxmlformats.org/officeDocument/2006/relationships/hyperlink" Target="https://www.tokai-tv.com/newsone/covid-19/newsList.php" TargetMode="External"/><Relationship Id="rId97" Type="http://schemas.openxmlformats.org/officeDocument/2006/relationships/hyperlink" Target="https://www.tokai-tv.com/newsone/covid-19/newsList.php" TargetMode="External"/><Relationship Id="rId96" Type="http://schemas.openxmlformats.org/officeDocument/2006/relationships/hyperlink" Target="https://www.tokai-tv.com/newsone/covid-19/newsList.php" TargetMode="External"/><Relationship Id="rId11" Type="http://schemas.openxmlformats.org/officeDocument/2006/relationships/hyperlink" Target="https://www.tokai-tv.com/newsone/covid-19/newsList.php" TargetMode="External"/><Relationship Id="rId99" Type="http://schemas.openxmlformats.org/officeDocument/2006/relationships/hyperlink" Target="https://www.tokai-tv.com/newsone/covid-19/newsList.php" TargetMode="External"/><Relationship Id="rId10" Type="http://schemas.openxmlformats.org/officeDocument/2006/relationships/hyperlink" Target="https://www.tokai-tv.com/newsone/covid-19/newsList.php" TargetMode="External"/><Relationship Id="rId98" Type="http://schemas.openxmlformats.org/officeDocument/2006/relationships/hyperlink" Target="https://www.tokai-tv.com/newsone/covid-19/newsList.php" TargetMode="External"/><Relationship Id="rId13" Type="http://schemas.openxmlformats.org/officeDocument/2006/relationships/hyperlink" Target="https://www.tokai-tv.com/newsone/covid-19/newsList.php" TargetMode="External"/><Relationship Id="rId12" Type="http://schemas.openxmlformats.org/officeDocument/2006/relationships/hyperlink" Target="https://www.tokai-tv.com/newsone/covid-19/newsList.php" TargetMode="External"/><Relationship Id="rId91" Type="http://schemas.openxmlformats.org/officeDocument/2006/relationships/hyperlink" Target="https://www.tokai-tv.com/newsone/covid-19/newsList.php" TargetMode="External"/><Relationship Id="rId90" Type="http://schemas.openxmlformats.org/officeDocument/2006/relationships/hyperlink" Target="https://www.tokai-tv.com/newsone/covid-19/newsList.php" TargetMode="External"/><Relationship Id="rId93" Type="http://schemas.openxmlformats.org/officeDocument/2006/relationships/hyperlink" Target="https://www.tokai-tv.com/newsone/covid-19/newsList.php" TargetMode="External"/><Relationship Id="rId92" Type="http://schemas.openxmlformats.org/officeDocument/2006/relationships/hyperlink" Target="https://www.tokai-tv.com/newsone/covid-19/newsList.php" TargetMode="External"/><Relationship Id="rId118" Type="http://schemas.openxmlformats.org/officeDocument/2006/relationships/hyperlink" Target="https://www.tokai-tv.com/newsone/covid-19/newsList.php" TargetMode="External"/><Relationship Id="rId117" Type="http://schemas.openxmlformats.org/officeDocument/2006/relationships/hyperlink" Target="https://www.tokai-tv.com/newsone/covid-19/newsList.php" TargetMode="External"/><Relationship Id="rId116" Type="http://schemas.openxmlformats.org/officeDocument/2006/relationships/hyperlink" Target="https://www.tokai-tv.com/newsone/covid-19/newsList.php" TargetMode="External"/><Relationship Id="rId115" Type="http://schemas.openxmlformats.org/officeDocument/2006/relationships/hyperlink" Target="https://www.tokai-tv.com/newsone/covid-19/newsList.php" TargetMode="External"/><Relationship Id="rId119" Type="http://schemas.openxmlformats.org/officeDocument/2006/relationships/hyperlink" Target="https://www.tokai-tv.com/newsone/covid-19/newsList.php" TargetMode="External"/><Relationship Id="rId15" Type="http://schemas.openxmlformats.org/officeDocument/2006/relationships/hyperlink" Target="https://www.tokai-tv.com/newsone/covid-19/newsList.php" TargetMode="External"/><Relationship Id="rId110" Type="http://schemas.openxmlformats.org/officeDocument/2006/relationships/hyperlink" Target="https://www.tokai-tv.com/newsone/covid-19/newsList.php" TargetMode="External"/><Relationship Id="rId14" Type="http://schemas.openxmlformats.org/officeDocument/2006/relationships/hyperlink" Target="https://www.tokai-tv.com/newsone/covid-19/newsList.php" TargetMode="External"/><Relationship Id="rId17" Type="http://schemas.openxmlformats.org/officeDocument/2006/relationships/hyperlink" Target="https://www.tokai-tv.com/newsone/covid-19/newsList.php" TargetMode="External"/><Relationship Id="rId16" Type="http://schemas.openxmlformats.org/officeDocument/2006/relationships/hyperlink" Target="https://www.tokai-tv.com/newsone/covid-19/newsList.php" TargetMode="External"/><Relationship Id="rId19" Type="http://schemas.openxmlformats.org/officeDocument/2006/relationships/hyperlink" Target="https://www.tokai-tv.com/newsone/covid-19/newsList.php" TargetMode="External"/><Relationship Id="rId114" Type="http://schemas.openxmlformats.org/officeDocument/2006/relationships/hyperlink" Target="https://www.tokai-tv.com/newsone/covid-19/newsList.php" TargetMode="External"/><Relationship Id="rId18" Type="http://schemas.openxmlformats.org/officeDocument/2006/relationships/hyperlink" Target="https://www.tokai-tv.com/newsone/covid-19/newsList.php" TargetMode="External"/><Relationship Id="rId113" Type="http://schemas.openxmlformats.org/officeDocument/2006/relationships/hyperlink" Target="https://www.tokai-tv.com/newsone/covid-19/newsList.php" TargetMode="External"/><Relationship Id="rId112" Type="http://schemas.openxmlformats.org/officeDocument/2006/relationships/hyperlink" Target="https://www.tokai-tv.com/newsone/covid-19/newsList.php" TargetMode="External"/><Relationship Id="rId111" Type="http://schemas.openxmlformats.org/officeDocument/2006/relationships/hyperlink" Target="https://www.tokai-tv.com/newsone/covid-19/newsList.php" TargetMode="External"/><Relationship Id="rId84" Type="http://schemas.openxmlformats.org/officeDocument/2006/relationships/hyperlink" Target="https://www.tokai-tv.com/newsone/covid-19/newsList.php" TargetMode="External"/><Relationship Id="rId83" Type="http://schemas.openxmlformats.org/officeDocument/2006/relationships/hyperlink" Target="https://www.tokai-tv.com/newsone/covid-19/newsList.php" TargetMode="External"/><Relationship Id="rId86" Type="http://schemas.openxmlformats.org/officeDocument/2006/relationships/hyperlink" Target="https://www.tokai-tv.com/newsone/covid-19/newsList.php" TargetMode="External"/><Relationship Id="rId85" Type="http://schemas.openxmlformats.org/officeDocument/2006/relationships/hyperlink" Target="https://www.tokai-tv.com/newsone/covid-19/newsList.php" TargetMode="External"/><Relationship Id="rId88" Type="http://schemas.openxmlformats.org/officeDocument/2006/relationships/hyperlink" Target="https://www.tokai-tv.com/newsone/covid-19/newsList.php" TargetMode="External"/><Relationship Id="rId87" Type="http://schemas.openxmlformats.org/officeDocument/2006/relationships/hyperlink" Target="https://www.tokai-tv.com/newsone/covid-19/newsList.php" TargetMode="External"/><Relationship Id="rId89" Type="http://schemas.openxmlformats.org/officeDocument/2006/relationships/hyperlink" Target="https://www.tokai-tv.com/newsone/covid-19/newsList.php" TargetMode="External"/><Relationship Id="rId80" Type="http://schemas.openxmlformats.org/officeDocument/2006/relationships/hyperlink" Target="https://www.tokai-tv.com/newsone/covid-19/newsList.php" TargetMode="External"/><Relationship Id="rId82" Type="http://schemas.openxmlformats.org/officeDocument/2006/relationships/hyperlink" Target="https://www.tokai-tv.com/newsone/covid-19/newsList.php" TargetMode="External"/><Relationship Id="rId81" Type="http://schemas.openxmlformats.org/officeDocument/2006/relationships/hyperlink" Target="https://www.tokai-tv.com/newsone/covid-19/newsList.php" TargetMode="External"/><Relationship Id="rId1" Type="http://schemas.openxmlformats.org/officeDocument/2006/relationships/comments" Target="../comments1.xml"/><Relationship Id="rId2" Type="http://schemas.openxmlformats.org/officeDocument/2006/relationships/hyperlink" Target="https://www.tokai-tv.com/newsone/covid-19/newsList.php" TargetMode="External"/><Relationship Id="rId3" Type="http://schemas.openxmlformats.org/officeDocument/2006/relationships/hyperlink" Target="https://www.tokai-tv.com/newsone/covid-19/newsList.php" TargetMode="External"/><Relationship Id="rId4" Type="http://schemas.openxmlformats.org/officeDocument/2006/relationships/hyperlink" Target="https://www.tokai-tv.com/newsone/covid-19/newsList.php" TargetMode="External"/><Relationship Id="rId9" Type="http://schemas.openxmlformats.org/officeDocument/2006/relationships/hyperlink" Target="https://www.tokai-tv.com/newsone/covid-19/newsList.php" TargetMode="External"/><Relationship Id="rId5" Type="http://schemas.openxmlformats.org/officeDocument/2006/relationships/hyperlink" Target="https://www.tokai-tv.com/newsone/covid-19/newsList.php" TargetMode="External"/><Relationship Id="rId6" Type="http://schemas.openxmlformats.org/officeDocument/2006/relationships/hyperlink" Target="https://www.tokai-tv.com/newsone/covid-19/newsList.php" TargetMode="External"/><Relationship Id="rId7" Type="http://schemas.openxmlformats.org/officeDocument/2006/relationships/hyperlink" Target="https://www.tokai-tv.com/newsone/covid-19/newsList.php" TargetMode="External"/><Relationship Id="rId8" Type="http://schemas.openxmlformats.org/officeDocument/2006/relationships/hyperlink" Target="https://www.tokai-tv.com/newsone/covid-19/newsList.php" TargetMode="External"/><Relationship Id="rId73" Type="http://schemas.openxmlformats.org/officeDocument/2006/relationships/hyperlink" Target="https://www.tokai-tv.com/newsone/covid-19/newsList.php" TargetMode="External"/><Relationship Id="rId72" Type="http://schemas.openxmlformats.org/officeDocument/2006/relationships/hyperlink" Target="https://www.tokai-tv.com/newsone/covid-19/newsList.php" TargetMode="External"/><Relationship Id="rId75" Type="http://schemas.openxmlformats.org/officeDocument/2006/relationships/hyperlink" Target="https://www.tokai-tv.com/newsone/covid-19/newsList.php" TargetMode="External"/><Relationship Id="rId74" Type="http://schemas.openxmlformats.org/officeDocument/2006/relationships/hyperlink" Target="https://www.tokai-tv.com/newsone/covid-19/newsList.php" TargetMode="External"/><Relationship Id="rId77" Type="http://schemas.openxmlformats.org/officeDocument/2006/relationships/hyperlink" Target="https://www.tokai-tv.com/newsone/covid-19/newsList.php" TargetMode="External"/><Relationship Id="rId76" Type="http://schemas.openxmlformats.org/officeDocument/2006/relationships/hyperlink" Target="https://www.tokai-tv.com/newsone/covid-19/newsList.php" TargetMode="External"/><Relationship Id="rId79" Type="http://schemas.openxmlformats.org/officeDocument/2006/relationships/hyperlink" Target="https://www.tokai-tv.com/newsone/covid-19/newsList.php" TargetMode="External"/><Relationship Id="rId78" Type="http://schemas.openxmlformats.org/officeDocument/2006/relationships/hyperlink" Target="https://www.tokai-tv.com/newsone/covid-19/newsList.php" TargetMode="External"/><Relationship Id="rId71" Type="http://schemas.openxmlformats.org/officeDocument/2006/relationships/hyperlink" Target="https://www.tokai-tv.com/newsone/covid-19/newsList.php" TargetMode="External"/><Relationship Id="rId70" Type="http://schemas.openxmlformats.org/officeDocument/2006/relationships/hyperlink" Target="https://www.tokai-tv.com/newsone/covid-19/newsList.php" TargetMode="External"/><Relationship Id="rId132" Type="http://schemas.openxmlformats.org/officeDocument/2006/relationships/vmlDrawing" Target="../drawings/vmlDrawing1.vml"/><Relationship Id="rId131" Type="http://schemas.openxmlformats.org/officeDocument/2006/relationships/drawing" Target="../drawings/drawing1.xml"/><Relationship Id="rId130" Type="http://schemas.openxmlformats.org/officeDocument/2006/relationships/hyperlink" Target="https://www.tokai-tv.com/newsone/covid-19/newsList.php" TargetMode="External"/><Relationship Id="rId62" Type="http://schemas.openxmlformats.org/officeDocument/2006/relationships/hyperlink" Target="https://www.tokai-tv.com/newsone/covid-19/newsList.php" TargetMode="External"/><Relationship Id="rId61" Type="http://schemas.openxmlformats.org/officeDocument/2006/relationships/hyperlink" Target="https://www.tokai-tv.com/newsone/covid-19/newsList.php" TargetMode="External"/><Relationship Id="rId64" Type="http://schemas.openxmlformats.org/officeDocument/2006/relationships/hyperlink" Target="https://www.tokai-tv.com/newsone/covid-19/newsList.php" TargetMode="External"/><Relationship Id="rId63" Type="http://schemas.openxmlformats.org/officeDocument/2006/relationships/hyperlink" Target="https://www.tokai-tv.com/newsone/covid-19/newsList.php" TargetMode="External"/><Relationship Id="rId66" Type="http://schemas.openxmlformats.org/officeDocument/2006/relationships/hyperlink" Target="https://www.tokai-tv.com/newsone/covid-19/newsList.php" TargetMode="External"/><Relationship Id="rId65" Type="http://schemas.openxmlformats.org/officeDocument/2006/relationships/hyperlink" Target="https://www.tokai-tv.com/newsone/covid-19/newsList.php" TargetMode="External"/><Relationship Id="rId68" Type="http://schemas.openxmlformats.org/officeDocument/2006/relationships/hyperlink" Target="https://www.tokai-tv.com/newsone/covid-19/newsList.php" TargetMode="External"/><Relationship Id="rId67" Type="http://schemas.openxmlformats.org/officeDocument/2006/relationships/hyperlink" Target="https://www.tokai-tv.com/newsone/covid-19/newsList.php" TargetMode="External"/><Relationship Id="rId60" Type="http://schemas.openxmlformats.org/officeDocument/2006/relationships/hyperlink" Target="https://www.tokai-tv.com/newsone/covid-19/newsList.php" TargetMode="External"/><Relationship Id="rId69" Type="http://schemas.openxmlformats.org/officeDocument/2006/relationships/hyperlink" Target="https://www.tokai-tv.com/newsone/covid-19/newsList.php" TargetMode="External"/><Relationship Id="rId51" Type="http://schemas.openxmlformats.org/officeDocument/2006/relationships/hyperlink" Target="https://www.tokai-tv.com/newsone/covid-19/newsList.php" TargetMode="External"/><Relationship Id="rId50" Type="http://schemas.openxmlformats.org/officeDocument/2006/relationships/hyperlink" Target="https://www.tokai-tv.com/newsone/covid-19/newsList.php" TargetMode="External"/><Relationship Id="rId53" Type="http://schemas.openxmlformats.org/officeDocument/2006/relationships/hyperlink" Target="https://www.tokai-tv.com/newsone/covid-19/newsList.php" TargetMode="External"/><Relationship Id="rId52" Type="http://schemas.openxmlformats.org/officeDocument/2006/relationships/hyperlink" Target="https://www.tokai-tv.com/newsone/covid-19/newsList.php" TargetMode="External"/><Relationship Id="rId55" Type="http://schemas.openxmlformats.org/officeDocument/2006/relationships/hyperlink" Target="https://www.tokai-tv.com/newsone/covid-19/newsList.php" TargetMode="External"/><Relationship Id="rId54" Type="http://schemas.openxmlformats.org/officeDocument/2006/relationships/hyperlink" Target="https://www.tokai-tv.com/newsone/covid-19/newsList.php" TargetMode="External"/><Relationship Id="rId57" Type="http://schemas.openxmlformats.org/officeDocument/2006/relationships/hyperlink" Target="https://www.tokai-tv.com/newsone/covid-19/newsList.php" TargetMode="External"/><Relationship Id="rId56" Type="http://schemas.openxmlformats.org/officeDocument/2006/relationships/hyperlink" Target="https://www.tokai-tv.com/newsone/covid-19/newsList.php" TargetMode="External"/><Relationship Id="rId59" Type="http://schemas.openxmlformats.org/officeDocument/2006/relationships/hyperlink" Target="https://www.tokai-tv.com/newsone/covid-19/newsList.php" TargetMode="External"/><Relationship Id="rId58" Type="http://schemas.openxmlformats.org/officeDocument/2006/relationships/hyperlink" Target="https://www.tokai-tv.com/newsone/covid-19/newsList.php" TargetMode="External"/></Relationships>
</file>

<file path=xl/worksheets/_rels/sheet2.xml.rels><?xml version="1.0" encoding="UTF-8" standalone="yes"?><Relationships xmlns="http://schemas.openxmlformats.org/package/2006/relationships"><Relationship Id="rId190" Type="http://schemas.openxmlformats.org/officeDocument/2006/relationships/hyperlink" Target="https://www.city.saitama.jp/002/001/008/006/013/001/p070442.html" TargetMode="External"/><Relationship Id="rId194" Type="http://schemas.openxmlformats.org/officeDocument/2006/relationships/hyperlink" Target="http://www.pref.saitama.lg.jp/a0001/news/page/2020/0403-03.html" TargetMode="External"/><Relationship Id="rId193" Type="http://schemas.openxmlformats.org/officeDocument/2006/relationships/hyperlink" Target="https://www.pref.saitama.lg.jp/a0001/news/page/2020/0405-01.html" TargetMode="External"/><Relationship Id="rId192" Type="http://schemas.openxmlformats.org/officeDocument/2006/relationships/hyperlink" Target="https://www.pref.saitama.lg.jp/a0001/news/page/2020/0405-01.html" TargetMode="External"/><Relationship Id="rId191" Type="http://schemas.openxmlformats.org/officeDocument/2006/relationships/hyperlink" Target="https://www.city.koshigaya.saitama.jp/kurashi_shisei/fukushi/hokenjo/kansensho/kansen_hassei5.html" TargetMode="External"/><Relationship Id="rId187" Type="http://schemas.openxmlformats.org/officeDocument/2006/relationships/hyperlink" Target="https://www.pref.saitama.lg.jp/a0001/news/page/2020/0404-01.html" TargetMode="External"/><Relationship Id="rId186" Type="http://schemas.openxmlformats.org/officeDocument/2006/relationships/hyperlink" Target="http://www.pref.saitama.lg.jp/a0001/news/page/2020/0403-03.html" TargetMode="External"/><Relationship Id="rId185" Type="http://schemas.openxmlformats.org/officeDocument/2006/relationships/hyperlink" Target="http://www.pref.hokkaido.lg.jp/hf/kth/kak/kisyakaiken0308.pdf" TargetMode="External"/><Relationship Id="rId184" Type="http://schemas.openxmlformats.org/officeDocument/2006/relationships/hyperlink" Target="http://www.pref.hokkaido.lg.jp/hf/kth/kak/kisyakaiken0312sapporo.pdf" TargetMode="External"/><Relationship Id="rId189" Type="http://schemas.openxmlformats.org/officeDocument/2006/relationships/hyperlink" Target="https://www.city.saitama.jp/002/001/008/006/013/001/p070442.html" TargetMode="External"/><Relationship Id="rId188" Type="http://schemas.openxmlformats.org/officeDocument/2006/relationships/hyperlink" Target="https://www.city.saitama.jp/002/001/008/006/013/001/p070442.html" TargetMode="External"/><Relationship Id="rId183" Type="http://schemas.openxmlformats.org/officeDocument/2006/relationships/hyperlink" Target="http://www.pref.hokkaido.lg.jp/hf/kth/kak/singatakoronahaienkannjya109-111.pdf;https://www.nikkei.com/article/DGXMZO56623150Q0A310C2L41000/" TargetMode="External"/><Relationship Id="rId182" Type="http://schemas.openxmlformats.org/officeDocument/2006/relationships/hyperlink" Target="http://www.pref.hokkaido.lg.jp/hf/kth/kak/kisyakaiken0315_0314sapporo.pdf" TargetMode="External"/><Relationship Id="rId181" Type="http://schemas.openxmlformats.org/officeDocument/2006/relationships/hyperlink" Target="http://www.pref.hokkaido.lg.jp/hf/kth/kak/kisyakaiken0309sapporo.pdf" TargetMode="External"/><Relationship Id="rId180" Type="http://schemas.openxmlformats.org/officeDocument/2006/relationships/hyperlink" Target="http://www.pref.hokkaido.lg.jp/hf/kth/kak/kisyakaiken0309sapporo.pdf" TargetMode="External"/><Relationship Id="rId176" Type="http://schemas.openxmlformats.org/officeDocument/2006/relationships/hyperlink" Target="http://www.pref.hokkaido.lg.jp/hf/kth/kak/kisyakaiken0313re.pdf" TargetMode="External"/><Relationship Id="rId175" Type="http://schemas.openxmlformats.org/officeDocument/2006/relationships/hyperlink" Target="http://www.pref.hokkaido.lg.jp/hf/kth/kak/kisyakaiken0311re.pdf" TargetMode="External"/><Relationship Id="rId174" Type="http://schemas.openxmlformats.org/officeDocument/2006/relationships/hyperlink" Target="http://www.pref.hokkaido.lg.jp/hf/kth/kak/kisyakaiken0307sapporo.pdf" TargetMode="External"/><Relationship Id="rId173" Type="http://schemas.openxmlformats.org/officeDocument/2006/relationships/hyperlink" Target="http://www.pref.hokkaido.lg.jp/hf/kth/kak/kisyakaiken0315_0314sapporo.pdf" TargetMode="External"/><Relationship Id="rId179" Type="http://schemas.openxmlformats.org/officeDocument/2006/relationships/hyperlink" Target="http://www.pref.hokkaido.lg.jp/hf/kth/kak/kisyakaiken0309sapporo.pdf" TargetMode="External"/><Relationship Id="rId178" Type="http://schemas.openxmlformats.org/officeDocument/2006/relationships/hyperlink" Target="http://www.pref.hokkaido.lg.jp/hf/kth/kak/kisyakaiken0309.pdf" TargetMode="External"/><Relationship Id="rId177" Type="http://schemas.openxmlformats.org/officeDocument/2006/relationships/hyperlink" Target="http://www.pref.hokkaido.lg.jp/hf/kth/kak/kisyakaiken0309.pdf" TargetMode="External"/><Relationship Id="rId198" Type="http://schemas.openxmlformats.org/officeDocument/2006/relationships/hyperlink" Target="https://www.pref.saitama.lg.jp/a0001/news/page/2020/0405-01.html" TargetMode="External"/><Relationship Id="rId197" Type="http://schemas.openxmlformats.org/officeDocument/2006/relationships/hyperlink" Target="http://www.pref.saitama.lg.jp/a0001/news/page/2020/0403-03.html" TargetMode="External"/><Relationship Id="rId196" Type="http://schemas.openxmlformats.org/officeDocument/2006/relationships/hyperlink" Target="http://www.pref.saitama.lg.jp/a0001/news/page/2020/0403-03.html" TargetMode="External"/><Relationship Id="rId195" Type="http://schemas.openxmlformats.org/officeDocument/2006/relationships/hyperlink" Target="http://www.pref.saitama.lg.jp/a0001/news/page/2020/0403-03.html" TargetMode="External"/><Relationship Id="rId199" Type="http://schemas.openxmlformats.org/officeDocument/2006/relationships/hyperlink" Target="http://www.pref.saitama.lg.jp/a0001/news/page/2020/0403-03.html" TargetMode="External"/><Relationship Id="rId150" Type="http://schemas.openxmlformats.org/officeDocument/2006/relationships/hyperlink" Target="http://www.pref.hokkaido.lg.jp/hf/kth/kak/singatakoronahaienkannjya42-54re.pdf" TargetMode="External"/><Relationship Id="rId392" Type="http://schemas.openxmlformats.org/officeDocument/2006/relationships/hyperlink" Target="https://www.pref.gifu.lg.jp/kinkyu-juyo-joho/shingata_corona.data/0324_kanjya_kisyasiryou.pdf" TargetMode="External"/><Relationship Id="rId391" Type="http://schemas.openxmlformats.org/officeDocument/2006/relationships/hyperlink" Target="https://www.pref.gifu.lg.jp/kinkyu-juyo-joho/shingata_corona.data/0323_kanjya_kisyasiryou.pdf;https://headlines.yahoo.co.jp/hl?a=20200323-00027437-tokaiv-soci" TargetMode="External"/><Relationship Id="rId390" Type="http://schemas.openxmlformats.org/officeDocument/2006/relationships/hyperlink" Target="https://www.pref.gifu.lg.jp/kinkyu-juyo-joho/shingata_corona.data/0326-2_kanjya_kisyasiryou.pdf" TargetMode="External"/><Relationship Id="rId1" Type="http://schemas.openxmlformats.org/officeDocument/2006/relationships/comments" Target="../comments2.xml"/><Relationship Id="rId2" Type="http://schemas.openxmlformats.org/officeDocument/2006/relationships/hyperlink" Target="https://www.kochinews.co.jp/article/360043/" TargetMode="External"/><Relationship Id="rId3" Type="http://schemas.openxmlformats.org/officeDocument/2006/relationships/hyperlink" Target="https://www.kochinews.co.jp/article/360043/" TargetMode="External"/><Relationship Id="rId149" Type="http://schemas.openxmlformats.org/officeDocument/2006/relationships/hyperlink" Target="http://www.pref.hokkaido.lg.jp/hf/kth/kak/kisyakaiken0315re.pdf" TargetMode="External"/><Relationship Id="rId4" Type="http://schemas.openxmlformats.org/officeDocument/2006/relationships/hyperlink" Target="https://www.kochinews.co.jp/article/360043/" TargetMode="External"/><Relationship Id="rId148" Type="http://schemas.openxmlformats.org/officeDocument/2006/relationships/hyperlink" Target="http://www.pref.hokkaido.lg.jp/hf/kth/kak/kisyakaiken0316sapporo.pdf" TargetMode="External"/><Relationship Id="rId1090" Type="http://schemas.openxmlformats.org/officeDocument/2006/relationships/hyperlink" Target="https://www.pref.fukuoka.lg.jp/contents/covid19-hassei.html" TargetMode="External"/><Relationship Id="rId1091" Type="http://schemas.openxmlformats.org/officeDocument/2006/relationships/hyperlink" Target="https://www.pref.fukuoka.lg.jp/contents/covid19-hassei.html" TargetMode="External"/><Relationship Id="rId1092" Type="http://schemas.openxmlformats.org/officeDocument/2006/relationships/hyperlink" Target="https://www.pref.fukuoka.lg.jp/contents/covid19-hassei.html" TargetMode="External"/><Relationship Id="rId1093" Type="http://schemas.openxmlformats.org/officeDocument/2006/relationships/hyperlink" Target="https://www.pref.fukuoka.lg.jp/contents/covid19-hassei.html" TargetMode="External"/><Relationship Id="rId1094" Type="http://schemas.openxmlformats.org/officeDocument/2006/relationships/hyperlink" Target="https://www.pref.fukuoka.lg.jp/contents/bukan.html" TargetMode="External"/><Relationship Id="rId9" Type="http://schemas.openxmlformats.org/officeDocument/2006/relationships/hyperlink" Target="http://www.pref.oita.jp/uploaded/attachment/2077629.pdf" TargetMode="External"/><Relationship Id="rId143" Type="http://schemas.openxmlformats.org/officeDocument/2006/relationships/hyperlink" Target="http://www.pref.hokkaido.lg.jp/hf/kth/kak/singatakoronahaienkannjya138-142.pdf" TargetMode="External"/><Relationship Id="rId385" Type="http://schemas.openxmlformats.org/officeDocument/2006/relationships/hyperlink" Target="https://www.pref.nagano.lg.jp/hoken-shippei/happyou/press20200226corona.html" TargetMode="External"/><Relationship Id="rId1095" Type="http://schemas.openxmlformats.org/officeDocument/2006/relationships/hyperlink" Target="https://www.pref.fukuoka.lg.jp/contents/covid19-hassei.html" TargetMode="External"/><Relationship Id="rId142" Type="http://schemas.openxmlformats.org/officeDocument/2006/relationships/hyperlink" Target="http://www.pref.hokkaido.lg.jp/hf/kth/kak/singatakoronahaienkannjya138-142.pdf" TargetMode="External"/><Relationship Id="rId384" Type="http://schemas.openxmlformats.org/officeDocument/2006/relationships/hyperlink" Target="https://www.pref.yamanashi.jp/koucho/coronavirus/documents/200325_case3-4.pdf" TargetMode="External"/><Relationship Id="rId1096" Type="http://schemas.openxmlformats.org/officeDocument/2006/relationships/hyperlink" Target="https://www.pref.fukuoka.lg.jp/contents/covid19-hassei.html" TargetMode="External"/><Relationship Id="rId141" Type="http://schemas.openxmlformats.org/officeDocument/2006/relationships/hyperlink" Target="http://www.pref.hokkaido.lg.jp/hf/kth/kak/kisyakaiken0316sapporo.pdf" TargetMode="External"/><Relationship Id="rId383" Type="http://schemas.openxmlformats.org/officeDocument/2006/relationships/hyperlink" Target="https://www.pref.yamanashi.jp/koucho/coronavirus/documents/200406_case18.pdf" TargetMode="External"/><Relationship Id="rId1097" Type="http://schemas.openxmlformats.org/officeDocument/2006/relationships/hyperlink" Target="https://www.pref.fukuoka.lg.jp/contents/covid19-hassei.html" TargetMode="External"/><Relationship Id="rId140" Type="http://schemas.openxmlformats.org/officeDocument/2006/relationships/hyperlink" Target="http://www.pref.hokkaido.lg.jp/hf/kth/kak/singatakoronahaienkannjya138-142.pdf" TargetMode="External"/><Relationship Id="rId382" Type="http://schemas.openxmlformats.org/officeDocument/2006/relationships/hyperlink" Target="https://www.pref.yamanashi.jp/koucho/coronavirus/documents/200405_case14ver2.pdf" TargetMode="External"/><Relationship Id="rId1098" Type="http://schemas.openxmlformats.org/officeDocument/2006/relationships/hyperlink" Target="https://www.pref.fukuoka.lg.jp/contents/covid19-hassei.html" TargetMode="External"/><Relationship Id="rId5" Type="http://schemas.openxmlformats.org/officeDocument/2006/relationships/hyperlink" Target="https://www.pref.kochi.lg.jp/soshiki/130401/files/2020022900049/0410.pdf" TargetMode="External"/><Relationship Id="rId147" Type="http://schemas.openxmlformats.org/officeDocument/2006/relationships/hyperlink" Target="http://www.pref.hokkaido.lg.jp/hf/kth/kak/kisyakaiken0316sapporo.pdf" TargetMode="External"/><Relationship Id="rId389" Type="http://schemas.openxmlformats.org/officeDocument/2006/relationships/hyperlink" Target="https://headlines.yahoo.co.jp/hl?a=20200323-00027437-tokaiv-soci" TargetMode="External"/><Relationship Id="rId1099" Type="http://schemas.openxmlformats.org/officeDocument/2006/relationships/hyperlink" Target="https://www.pref.fukuoka.lg.jp/contents/covid19-hassei.html" TargetMode="External"/><Relationship Id="rId6" Type="http://schemas.openxmlformats.org/officeDocument/2006/relationships/hyperlink" Target="https://www.pref.kochi.lg.jp/soshiki/130401/files/2020022900049/file_2020494145844_1.pdf" TargetMode="External"/><Relationship Id="rId146" Type="http://schemas.openxmlformats.org/officeDocument/2006/relationships/hyperlink" Target="http://www.pref.hokkaido.lg.jp/hf/kth/kak/kisyakaiken0316sapporo.pdf" TargetMode="External"/><Relationship Id="rId388" Type="http://schemas.openxmlformats.org/officeDocument/2006/relationships/hyperlink" Target="https://www.pref.nagano.lg.jp/hoken-shippei/happyou/press20200306corona3.html" TargetMode="External"/><Relationship Id="rId7" Type="http://schemas.openxmlformats.org/officeDocument/2006/relationships/hyperlink" Target="https://www.pref.kochi.lg.jp/soshiki/130401/files/2020022900049/file_2020494145844_1.pdf" TargetMode="External"/><Relationship Id="rId145" Type="http://schemas.openxmlformats.org/officeDocument/2006/relationships/hyperlink" Target="http://www.pref.hokkaido.lg.jp/hf/kth/kak/singatakoronahaienkannjya138-142.pdf" TargetMode="External"/><Relationship Id="rId387" Type="http://schemas.openxmlformats.org/officeDocument/2006/relationships/hyperlink" Target="https://www.pref.nagano.lg.jp/hoken-shippei/happyou/0406press.html" TargetMode="External"/><Relationship Id="rId8" Type="http://schemas.openxmlformats.org/officeDocument/2006/relationships/hyperlink" Target="https://www.pref.kochi.lg.jp/soshiki/130401/files/2020022900049/0410.pdf" TargetMode="External"/><Relationship Id="rId144" Type="http://schemas.openxmlformats.org/officeDocument/2006/relationships/hyperlink" Target="http://www.pref.hokkaido.lg.jp/hf/kth/kak/kisyakaiken0316_3.pdf" TargetMode="External"/><Relationship Id="rId386" Type="http://schemas.openxmlformats.org/officeDocument/2006/relationships/hyperlink" Target="https://www.pref.nagano.lg.jp/hoken-shippei/happyou/0405press.html" TargetMode="External"/><Relationship Id="rId381" Type="http://schemas.openxmlformats.org/officeDocument/2006/relationships/hyperlink" Target="https://www.pref.yamanashi.jp/koucho/coronavirus/documents/200405_case13ver2.pdf" TargetMode="External"/><Relationship Id="rId380" Type="http://schemas.openxmlformats.org/officeDocument/2006/relationships/hyperlink" Target="https://www.pref.yamanashi.jp/koucho/coronavirus/documents/200405_case12ver3.pdf" TargetMode="External"/><Relationship Id="rId139" Type="http://schemas.openxmlformats.org/officeDocument/2006/relationships/hyperlink" Target="http://www.pref.hokkaido.lg.jp/hf/kth/kak/singatakoronahaienkannjya138-142.pdf" TargetMode="External"/><Relationship Id="rId138" Type="http://schemas.openxmlformats.org/officeDocument/2006/relationships/hyperlink" Target="http://www.pref.hokkaido.lg.jp/hf/kth/kak/kisyakaiken0313sapporo.pdf" TargetMode="External"/><Relationship Id="rId137" Type="http://schemas.openxmlformats.org/officeDocument/2006/relationships/hyperlink" Target="http://www.pref.hokkaido.lg.jp/hf/kth/kak/kisyakaiken0312sapporo.pdf" TargetMode="External"/><Relationship Id="rId379" Type="http://schemas.openxmlformats.org/officeDocument/2006/relationships/hyperlink" Target="https://news.shoninsha.co.jp/strategy/148563" TargetMode="External"/><Relationship Id="rId1080" Type="http://schemas.openxmlformats.org/officeDocument/2006/relationships/hyperlink" Target="https://www.pref.fukuoka.lg.jp/contents/covid19-hassei.html" TargetMode="External"/><Relationship Id="rId1081" Type="http://schemas.openxmlformats.org/officeDocument/2006/relationships/hyperlink" Target="https://www.pref.fukuoka.lg.jp/contents/covid19-hassei.html" TargetMode="External"/><Relationship Id="rId1082" Type="http://schemas.openxmlformats.org/officeDocument/2006/relationships/hyperlink" Target="https://www.pref.fukuoka.lg.jp/contents/covid19-hassei.html" TargetMode="External"/><Relationship Id="rId1083" Type="http://schemas.openxmlformats.org/officeDocument/2006/relationships/hyperlink" Target="https://www.pref.fukuoka.lg.jp/contents/covid19-hassei.html" TargetMode="External"/><Relationship Id="rId132" Type="http://schemas.openxmlformats.org/officeDocument/2006/relationships/hyperlink" Target="http://www.pref.hokkaido.lg.jp/hf/kth/kak/kisyakaiken0312sapporo.pdf" TargetMode="External"/><Relationship Id="rId374" Type="http://schemas.openxmlformats.org/officeDocument/2006/relationships/hyperlink" Target="https://www.city.toyama.toyama.jp/data/open/cnt/3/21213/1/R2.4.2shingatakorona.4-5.pdf?20200404201156" TargetMode="External"/><Relationship Id="rId1084" Type="http://schemas.openxmlformats.org/officeDocument/2006/relationships/hyperlink" Target="https://www.pref.fukuoka.lg.jp/contents/covid19-hassei.html" TargetMode="External"/><Relationship Id="rId131" Type="http://schemas.openxmlformats.org/officeDocument/2006/relationships/hyperlink" Target="http://www.pref.hokkaido.lg.jp/hf/kth/kak/kisyakaiken0311sapporo.pdf" TargetMode="External"/><Relationship Id="rId373" Type="http://schemas.openxmlformats.org/officeDocument/2006/relationships/hyperlink" Target="https://www.city.toyama.toyama.jp/data/open/cnt/3/21213/1/R2.4.2shingatakorona.4-5.pdf?20200404201156" TargetMode="External"/><Relationship Id="rId1085" Type="http://schemas.openxmlformats.org/officeDocument/2006/relationships/hyperlink" Target="https://www.pref.fukuoka.lg.jp/contents/covid19-hassei.html" TargetMode="External"/><Relationship Id="rId130" Type="http://schemas.openxmlformats.org/officeDocument/2006/relationships/hyperlink" Target="http://www.pref.hokkaido.lg.jp/hf/kth/kak/kisyakaiken0313sapporo.pdf" TargetMode="External"/><Relationship Id="rId372" Type="http://schemas.openxmlformats.org/officeDocument/2006/relationships/hyperlink" Target="https://www.city.toyama.toyama.jp/data/open/cnt/3/21213/1/R2.3.31shingatakorona.pdf?20200331151146" TargetMode="External"/><Relationship Id="rId1086" Type="http://schemas.openxmlformats.org/officeDocument/2006/relationships/hyperlink" Target="https://www.pref.fukuoka.lg.jp/contents/covid19-hassei.html" TargetMode="External"/><Relationship Id="rId371" Type="http://schemas.openxmlformats.org/officeDocument/2006/relationships/hyperlink" Target="https://www.city.toyama.toyama.jp/data/open/cnt/3/21213/1/R2.4.4shingatakorona_2.pdf?20200407174238" TargetMode="External"/><Relationship Id="rId1087" Type="http://schemas.openxmlformats.org/officeDocument/2006/relationships/hyperlink" Target="https://www.pref.fukuoka.lg.jp/contents/covid19-hassei.html" TargetMode="External"/><Relationship Id="rId136" Type="http://schemas.openxmlformats.org/officeDocument/2006/relationships/hyperlink" Target="http://www.pref.hokkaido.lg.jp/hf/kth/kak/singatakoronahaienkannjya138-142.pdf" TargetMode="External"/><Relationship Id="rId378" Type="http://schemas.openxmlformats.org/officeDocument/2006/relationships/hyperlink" Target="https://www.pref.fukui.lg.jp/doc/kenkou/kansensyo-yobousessyu/corona_d/fil/200328-1.pdf;https://www.chunichi.co.jp/article/fukui/20200407/CK2020040702000043.html" TargetMode="External"/><Relationship Id="rId1088" Type="http://schemas.openxmlformats.org/officeDocument/2006/relationships/hyperlink" Target="https://www.pref.fukuoka.lg.jp/contents/covid19-hassei.html" TargetMode="External"/><Relationship Id="rId135" Type="http://schemas.openxmlformats.org/officeDocument/2006/relationships/hyperlink" Target="http://www.pref.hokkaido.lg.jp/hf/kth/kak/kisyakaiken0312sapporo.pdf" TargetMode="External"/><Relationship Id="rId377" Type="http://schemas.openxmlformats.org/officeDocument/2006/relationships/hyperlink" Target="https://www.pref.fukui.lg.jp/doc/kenkou/kansensyo-yobousessyu/corona_d/fil/200328-1.pdf;https://www.chunichi.co.jp/article/fukui/20200407/CK2020040702000043.html" TargetMode="External"/><Relationship Id="rId1089" Type="http://schemas.openxmlformats.org/officeDocument/2006/relationships/hyperlink" Target="https://www.pref.fukuoka.lg.jp/contents/covid19-hassei.html" TargetMode="External"/><Relationship Id="rId134" Type="http://schemas.openxmlformats.org/officeDocument/2006/relationships/hyperlink" Target="http://www.pref.hokkaido.lg.jp/hf/kth/kak/kisyakaiken0313re.pdf" TargetMode="External"/><Relationship Id="rId376" Type="http://schemas.openxmlformats.org/officeDocument/2006/relationships/hyperlink" Target="https://www.pref.fukui.lg.jp/doc/kenkou/kansensyo-yobousessyu/corona_d/fil/200328-1.pdf;https://www.chunichi.co.jp/article/fukui/20200407/CK2020040702000043.html" TargetMode="External"/><Relationship Id="rId133" Type="http://schemas.openxmlformats.org/officeDocument/2006/relationships/hyperlink" Target="http://www.pref.hokkaido.lg.jp/hf/kth/kak/kisyakaiken0313sapporo.pdf" TargetMode="External"/><Relationship Id="rId375" Type="http://schemas.openxmlformats.org/officeDocument/2006/relationships/hyperlink" Target="http://www.pref.toyama.jp/cms_pfile/00021798/01378251.pdf" TargetMode="External"/><Relationship Id="rId172" Type="http://schemas.openxmlformats.org/officeDocument/2006/relationships/hyperlink" Target="http://www.pref.hokkaido.lg.jp/hf/kth/kak/kisyakaiken0311sapporo.pdf;https://www.asahi.com/articles/ASN3C72WDN3CIIPE01P.html" TargetMode="External"/><Relationship Id="rId171" Type="http://schemas.openxmlformats.org/officeDocument/2006/relationships/hyperlink" Target="http://www.pref.hokkaido.lg.jp/hf/kth/kak/kisyakaiken0311asahikawa.pdf" TargetMode="External"/><Relationship Id="rId170" Type="http://schemas.openxmlformats.org/officeDocument/2006/relationships/hyperlink" Target="http://www.pref.hokkaido.lg.jp/hf/kth/kak/kisyakaiken0307sapporo.pdf" TargetMode="External"/><Relationship Id="rId165" Type="http://schemas.openxmlformats.org/officeDocument/2006/relationships/hyperlink" Target="http://www.pref.hokkaido.lg.jp/hf/kth/kak/singatakoronahaienkannjya109-111.pdf;https://www.nikkei.com/article/DGXMZO56623150Q0A310C2L41000/" TargetMode="External"/><Relationship Id="rId164" Type="http://schemas.openxmlformats.org/officeDocument/2006/relationships/hyperlink" Target="http://www.pref.hokkaido.lg.jp/hf/kth/kak/singatakoronahaienkannjya109-111.pdf;https://www.nikkei.com/article/DGXMZO56623150Q0A310C2L41000/" TargetMode="External"/><Relationship Id="rId163" Type="http://schemas.openxmlformats.org/officeDocument/2006/relationships/hyperlink" Target="http://www.pref.hokkaido.lg.jp/hf/kth/kak/kisyakaiken0312sapporo.pdf" TargetMode="External"/><Relationship Id="rId162" Type="http://schemas.openxmlformats.org/officeDocument/2006/relationships/hyperlink" Target="http://www.pref.hokkaido.lg.jp/hf/kth/kak/singatakoronahaienkannjya109-111.pdf" TargetMode="External"/><Relationship Id="rId169" Type="http://schemas.openxmlformats.org/officeDocument/2006/relationships/hyperlink" Target="http://www.pref.hokkaido.lg.jp/hf/kth/kak/kisyakaiken0307sapporo.pdf" TargetMode="External"/><Relationship Id="rId168" Type="http://schemas.openxmlformats.org/officeDocument/2006/relationships/hyperlink" Target="http://www.pref.hokkaido.lg.jp/hf/kth/kak/kisyakaiken0306sapporo.pdf;https://www.hokkaido-np.co.jp/article/400255" TargetMode="External"/><Relationship Id="rId167" Type="http://schemas.openxmlformats.org/officeDocument/2006/relationships/hyperlink" Target="http://www.pref.hokkaido.lg.jp/hf/kth/kak/kisyakaiken0306sapporo.pdf;https://www.hokkaido-np.co.jp/article/400255" TargetMode="External"/><Relationship Id="rId166" Type="http://schemas.openxmlformats.org/officeDocument/2006/relationships/hyperlink" Target="http://www.pref.hokkaido.lg.jp/hf/kth/kak/kisyakaiken0312sapporo.pdf" TargetMode="External"/><Relationship Id="rId161" Type="http://schemas.openxmlformats.org/officeDocument/2006/relationships/hyperlink" Target="http://www.pref.hokkaido.lg.jp/hf/kth/kak/singatakoronahaienkannjya78-79rere.pdf" TargetMode="External"/><Relationship Id="rId160" Type="http://schemas.openxmlformats.org/officeDocument/2006/relationships/hyperlink" Target="http://www.pref.hokkaido.lg.jp/hf/kth/kak/singatakoronahaienkannjya78-79rere.pdf" TargetMode="External"/><Relationship Id="rId159" Type="http://schemas.openxmlformats.org/officeDocument/2006/relationships/hyperlink" Target="http://www.pref.hokkaido.lg.jp/hf/kth/kak/kisyakaiken0302siryoud.pdf" TargetMode="External"/><Relationship Id="rId154" Type="http://schemas.openxmlformats.org/officeDocument/2006/relationships/hyperlink" Target="http://www.pref.hokkaido.lg.jp/hf/kth/kak/kisyakaiken03022siryoud.pdf" TargetMode="External"/><Relationship Id="rId396" Type="http://schemas.openxmlformats.org/officeDocument/2006/relationships/hyperlink" Target="https://www.pref.gifu.lg.jp/kinkyu-juyo-joho/shingata_corona.data/0323-2_kanjya_kisyasiryou.pdf;https://headlines.yahoo.co.jp/hl?a=20200323-00027437-tokaiv-soci" TargetMode="External"/><Relationship Id="rId153" Type="http://schemas.openxmlformats.org/officeDocument/2006/relationships/hyperlink" Target="http://www.pref.hokkaido.lg.jp/hf/kth/kak/kisyakaiken03022siryoud.pdf" TargetMode="External"/><Relationship Id="rId395" Type="http://schemas.openxmlformats.org/officeDocument/2006/relationships/hyperlink" Target="https://www.pref.gifu.lg.jp/kinkyu-juyo-joho/shingata_corona.data/0326_kanjya_kisyasiryou.pdf" TargetMode="External"/><Relationship Id="rId152" Type="http://schemas.openxmlformats.org/officeDocument/2006/relationships/hyperlink" Target="http://www.pref.hokkaido.lg.jp/hf/kth/kak/singatakoronahaienkannjya42-54re.pdf" TargetMode="External"/><Relationship Id="rId394" Type="http://schemas.openxmlformats.org/officeDocument/2006/relationships/hyperlink" Target="https://www.pref.gifu.lg.jp/kinkyu-juyo-joho/shingata_corona.data/0325_kanjya_kisyasiryou.pdf" TargetMode="External"/><Relationship Id="rId151" Type="http://schemas.openxmlformats.org/officeDocument/2006/relationships/hyperlink" Target="http://www.pref.hokkaido.lg.jp/hf/kth/kak/singatakoronahaienkannjya42-54re.pdf" TargetMode="External"/><Relationship Id="rId393" Type="http://schemas.openxmlformats.org/officeDocument/2006/relationships/hyperlink" Target="https://www.pref.gifu.lg.jp/kinkyu-juyo-joho/shingata_corona.data/0324_kanjya_kisyasiryou.pdf" TargetMode="External"/><Relationship Id="rId158" Type="http://schemas.openxmlformats.org/officeDocument/2006/relationships/hyperlink" Target="http://www.pref.hokkaido.lg.jp/hf/kth/kak/kisyakaiken0309sapporo.pdf" TargetMode="External"/><Relationship Id="rId157" Type="http://schemas.openxmlformats.org/officeDocument/2006/relationships/hyperlink" Target="http://www.pref.hokkaido.lg.jp/hf/kth/kak/kisyakaiken0307.pdf" TargetMode="External"/><Relationship Id="rId399" Type="http://schemas.openxmlformats.org/officeDocument/2006/relationships/hyperlink" Target="https://www.pref.gifu.lg.jp/kinkyu-juyo-joho/shingata_corona.data/0325_kanjya_kisyasiryou.pdf" TargetMode="External"/><Relationship Id="rId156" Type="http://schemas.openxmlformats.org/officeDocument/2006/relationships/hyperlink" Target="http://www.pref.hokkaido.lg.jp/hf/kth/kak/kisyakaiken0307.pdf" TargetMode="External"/><Relationship Id="rId398" Type="http://schemas.openxmlformats.org/officeDocument/2006/relationships/hyperlink" Target="https://www.pref.gifu.lg.jp/kinkyu-juyo-joho/shingata_corona.data/0324_kanjya_kisyasiryou.pdf" TargetMode="External"/><Relationship Id="rId155" Type="http://schemas.openxmlformats.org/officeDocument/2006/relationships/hyperlink" Target="http://www.pref.hokkaido.lg.jp/hf/kth/kak/kisyakaiken03022siryoud.pdf" TargetMode="External"/><Relationship Id="rId397" Type="http://schemas.openxmlformats.org/officeDocument/2006/relationships/hyperlink" Target="https://www.pref.gifu.lg.jp/kinkyu-juyo-joho/shingata_corona.data/0324_kanjya_kisyasiryou.pdf" TargetMode="External"/><Relationship Id="rId808" Type="http://schemas.openxmlformats.org/officeDocument/2006/relationships/hyperlink" Target="http://www.pref.osaka.lg.jp/hodo/attach/hodo-37633_5.pdf" TargetMode="External"/><Relationship Id="rId807" Type="http://schemas.openxmlformats.org/officeDocument/2006/relationships/hyperlink" Target="http://www.pref.osaka.lg.jp/hodo/index.php?site=fumin&amp;pageId=37593" TargetMode="External"/><Relationship Id="rId806" Type="http://schemas.openxmlformats.org/officeDocument/2006/relationships/hyperlink" Target="http://www.pref.osaka.lg.jp/hodo/attach/hodo-37659_5.pdf" TargetMode="External"/><Relationship Id="rId805" Type="http://schemas.openxmlformats.org/officeDocument/2006/relationships/hyperlink" Target="http://www.pref.osaka.lg.jp/hodo/attach/hodo-37659_5.pdf" TargetMode="External"/><Relationship Id="rId809" Type="http://schemas.openxmlformats.org/officeDocument/2006/relationships/hyperlink" Target="http://www.pref.osaka.lg.jp/hodo/attach/hodo-37633_5.pdf" TargetMode="External"/><Relationship Id="rId800" Type="http://schemas.openxmlformats.org/officeDocument/2006/relationships/hyperlink" Target="http://www.pref.osaka.lg.jp/hodo/attach/hodo-37955_4.pdf" TargetMode="External"/><Relationship Id="rId804" Type="http://schemas.openxmlformats.org/officeDocument/2006/relationships/hyperlink" Target="http://www.pref.osaka.lg.jp/hodo/attach/hodo-37694_4.pdf" TargetMode="External"/><Relationship Id="rId803" Type="http://schemas.openxmlformats.org/officeDocument/2006/relationships/hyperlink" Target="http://www.pref.osaka.lg.jp/hodo/attach/hodo-37680_5.pdf" TargetMode="External"/><Relationship Id="rId802" Type="http://schemas.openxmlformats.org/officeDocument/2006/relationships/hyperlink" Target="http://www.pref.osaka.lg.jp/hodo/attach/hodo-37659_5.pdf" TargetMode="External"/><Relationship Id="rId801" Type="http://schemas.openxmlformats.org/officeDocument/2006/relationships/hyperlink" Target="http://www.pref.osaka.lg.jp/hodo/attach/hodo-37955_4.pdf" TargetMode="External"/><Relationship Id="rId40" Type="http://schemas.openxmlformats.org/officeDocument/2006/relationships/hyperlink" Target="http://www.pref.hokkaido.lg.jp/hf/kth/kak/singatakoronahaienkannjya42-54re.pdf" TargetMode="External"/><Relationship Id="rId42" Type="http://schemas.openxmlformats.org/officeDocument/2006/relationships/hyperlink" Target="http://www.pref.hokkaido.lg.jp/hf/kth/kak/kisyakaiken0225siryou.pdf" TargetMode="External"/><Relationship Id="rId41" Type="http://schemas.openxmlformats.org/officeDocument/2006/relationships/hyperlink" Target="http://www.pref.hokkaido.lg.jp/hf/kth/kak/singatakoronahaienkannjya27-28rere.pdf" TargetMode="External"/><Relationship Id="rId44" Type="http://schemas.openxmlformats.org/officeDocument/2006/relationships/hyperlink" Target="http://www.pref.hokkaido.lg.jp/hf/kth/kak/kisyakaiken0227siryou2.pdf" TargetMode="External"/><Relationship Id="rId43" Type="http://schemas.openxmlformats.org/officeDocument/2006/relationships/hyperlink" Target="http://www.pref.hokkaido.lg.jp/hf/kth/kak/singatakoronahaienkaigisiryou0225.pdf" TargetMode="External"/><Relationship Id="rId46" Type="http://schemas.openxmlformats.org/officeDocument/2006/relationships/hyperlink" Target="http://www.pref.hokkaido.lg.jp/hf/kth/kak/singatakoronahaienkannjya42-54re.pdf" TargetMode="External"/><Relationship Id="rId45" Type="http://schemas.openxmlformats.org/officeDocument/2006/relationships/hyperlink" Target="http://www.pref.hokkaido.lg.jp/hf/kth/kak/kisyakaiken0227siryou2.pdf" TargetMode="External"/><Relationship Id="rId509" Type="http://schemas.openxmlformats.org/officeDocument/2006/relationships/hyperlink" Target="http://www.city.nagoya.jp/kenkofukushi/cmsfiles/contents/0000126/126920/R20308kisya.pdf" TargetMode="External"/><Relationship Id="rId508" Type="http://schemas.openxmlformats.org/officeDocument/2006/relationships/hyperlink" Target="https://www.pref.aichi.jp/uploaded/attachment/322235.pdf" TargetMode="External"/><Relationship Id="rId503" Type="http://schemas.openxmlformats.org/officeDocument/2006/relationships/hyperlink" Target="http://www.city.nagoya.jp/kenkofukushi/cmsfiles/contents/0000126/126920/R20310kisya.pdf;https://www.chunichi.co.jp/article/feature/coronavirus/list/CK2020031402000209.html" TargetMode="External"/><Relationship Id="rId745" Type="http://schemas.openxmlformats.org/officeDocument/2006/relationships/hyperlink" Target="http://www.pref.osaka.lg.jp/hodo/attach/hodo-37949_4.pdf" TargetMode="External"/><Relationship Id="rId987" Type="http://schemas.openxmlformats.org/officeDocument/2006/relationships/hyperlink" Target="https://www.pref.ehime.jp/h25500/kansen/documents/020403press_1.pdf" TargetMode="External"/><Relationship Id="rId502" Type="http://schemas.openxmlformats.org/officeDocument/2006/relationships/hyperlink" Target="http://www.city.nagoya.jp/kenkofukushi/cmsfiles/contents/0000126/126920/200314kannzyazyouhou.pdf;https://www.chunichi.co.jp/article/feature/coronavirus/list/CK2020031402000209.html" TargetMode="External"/><Relationship Id="rId744" Type="http://schemas.openxmlformats.org/officeDocument/2006/relationships/hyperlink" Target="http://www.pref.osaka.lg.jp/hodo/attach/hodo-37934_4.pdf" TargetMode="External"/><Relationship Id="rId986" Type="http://schemas.openxmlformats.org/officeDocument/2006/relationships/hyperlink" Target="https://www.pref.ehime.jp/h25500/kansen/documents/0402press.pdf" TargetMode="External"/><Relationship Id="rId501" Type="http://schemas.openxmlformats.org/officeDocument/2006/relationships/hyperlink" Target="https://www.pref.aichi.jp/uploaded/attachment/322235.pdf" TargetMode="External"/><Relationship Id="rId743" Type="http://schemas.openxmlformats.org/officeDocument/2006/relationships/hyperlink" Target="http://www.pref.osaka.lg.jp/hodo/attach/hodo-37645_5.pdf" TargetMode="External"/><Relationship Id="rId985" Type="http://schemas.openxmlformats.org/officeDocument/2006/relationships/hyperlink" Target="https://www.pref.kagawa.lg.jp/content/etc/web/upfiles/wazlqj200330235511_f03.pdf" TargetMode="External"/><Relationship Id="rId500" Type="http://schemas.openxmlformats.org/officeDocument/2006/relationships/hyperlink" Target="https://www.pref.aichi.jp/uploaded/attachment/322088.pdf" TargetMode="External"/><Relationship Id="rId742" Type="http://schemas.openxmlformats.org/officeDocument/2006/relationships/hyperlink" Target="http://www.pref.osaka.lg.jp/hodo/attach/hodo-37934_4.pdf" TargetMode="External"/><Relationship Id="rId984" Type="http://schemas.openxmlformats.org/officeDocument/2006/relationships/hyperlink" Target="https://www.pref.tokushima.lg.jp/file/attachment/552067.pdf" TargetMode="External"/><Relationship Id="rId507" Type="http://schemas.openxmlformats.org/officeDocument/2006/relationships/hyperlink" Target="http://www.city.nagoya.jp/kenkofukushi/cmsfiles/contents/0000126/126920/R20309kisya.pdf" TargetMode="External"/><Relationship Id="rId749" Type="http://schemas.openxmlformats.org/officeDocument/2006/relationships/hyperlink" Target="http://www.pref.osaka.lg.jp/hodo/attach/hodo-37934_4.pdf" TargetMode="External"/><Relationship Id="rId506" Type="http://schemas.openxmlformats.org/officeDocument/2006/relationships/hyperlink" Target="http://www.city.nagoya.jp/kenkofukushi/cmsfiles/contents/0000126/126920/R20312kisya(youseikanjya).pdf" TargetMode="External"/><Relationship Id="rId748" Type="http://schemas.openxmlformats.org/officeDocument/2006/relationships/hyperlink" Target="http://www.pref.osaka.lg.jp/hodo/attach/hodo-37934_4.pdf" TargetMode="External"/><Relationship Id="rId505" Type="http://schemas.openxmlformats.org/officeDocument/2006/relationships/hyperlink" Target="http://www.city.nagoya.jp/kenkofukushi/cmsfiles/contents/0000126/126920/R20311kisya(kanjya).pdf" TargetMode="External"/><Relationship Id="rId747" Type="http://schemas.openxmlformats.org/officeDocument/2006/relationships/hyperlink" Target="http://www.pref.osaka.lg.jp/hodo/attach/hodo-37633_5.pdf" TargetMode="External"/><Relationship Id="rId989" Type="http://schemas.openxmlformats.org/officeDocument/2006/relationships/hyperlink" Target="https://www.pref.ehime.jp/h25500/kansen/documents/020406press_1.pdf" TargetMode="External"/><Relationship Id="rId504" Type="http://schemas.openxmlformats.org/officeDocument/2006/relationships/hyperlink" Target="http://www.city.nagoya.jp/kenkofukushi/cmsfiles/contents/0000126/126920/R20310kisya.pdf;https://www.chunichi.co.jp/article/feature/coronavirus/list/CK2020031402000209.html" TargetMode="External"/><Relationship Id="rId746" Type="http://schemas.openxmlformats.org/officeDocument/2006/relationships/hyperlink" Target="http://www.pref.osaka.lg.jp/hodo/attach/hodo-37932_4.pdf" TargetMode="External"/><Relationship Id="rId988" Type="http://schemas.openxmlformats.org/officeDocument/2006/relationships/hyperlink" Target="https://www.pref.ehime.jp/h25500/kansen/documents/020403press_1.pdf" TargetMode="External"/><Relationship Id="rId48" Type="http://schemas.openxmlformats.org/officeDocument/2006/relationships/hyperlink" Target="https://www.pref.aomori.lg.jp/soshiki/kenko/hoken/files/200323press.pdf" TargetMode="External"/><Relationship Id="rId47" Type="http://schemas.openxmlformats.org/officeDocument/2006/relationships/hyperlink" Target="http://www.pref.hokkaido.lg.jp/hf/kth/kak/singatakoronahaienkannjya71-72re.pdf" TargetMode="External"/><Relationship Id="rId49" Type="http://schemas.openxmlformats.org/officeDocument/2006/relationships/hyperlink" Target="https://www.pref.aomori.lg.jp/soshiki/kenko/hoken/files/200325press.pdf" TargetMode="External"/><Relationship Id="rId741" Type="http://schemas.openxmlformats.org/officeDocument/2006/relationships/hyperlink" Target="http://www.pref.osaka.lg.jp/hodo/attach/hodo-37645_5.pdf" TargetMode="External"/><Relationship Id="rId983" Type="http://schemas.openxmlformats.org/officeDocument/2006/relationships/hyperlink" Target="https://www.pref.yamaguchi.lg.jp/cms/a15200/kansensyou/koronahassei.html" TargetMode="External"/><Relationship Id="rId740" Type="http://schemas.openxmlformats.org/officeDocument/2006/relationships/hyperlink" Target="http://www.pref.osaka.lg.jp/hodo/attach/hodo-37955_4.pdf" TargetMode="External"/><Relationship Id="rId982" Type="http://schemas.openxmlformats.org/officeDocument/2006/relationships/hyperlink" Target="https://www.pref.yamaguchi.lg.jp/cms/a15200/kansensyou/koronahassei.html" TargetMode="External"/><Relationship Id="rId981" Type="http://schemas.openxmlformats.org/officeDocument/2006/relationships/hyperlink" Target="https://www.pref.yamaguchi.lg.jp/cms/a15200/kansensyou/koronahassei.html" TargetMode="External"/><Relationship Id="rId980" Type="http://schemas.openxmlformats.org/officeDocument/2006/relationships/hyperlink" Target="https://www.pref.yamaguchi.lg.jp/cms/a15200/kansensyou/koronahassei.html" TargetMode="External"/><Relationship Id="rId31" Type="http://schemas.openxmlformats.org/officeDocument/2006/relationships/hyperlink" Target="http://www.pref.hokkaido.lg.jp/hf/kth/kak/hasseijoukyou.htm" TargetMode="External"/><Relationship Id="rId30" Type="http://schemas.openxmlformats.org/officeDocument/2006/relationships/hyperlink" Target="http://www.pref.hokkaido.lg.jp/hf/kth/kak/hasseijoukyou.htm" TargetMode="External"/><Relationship Id="rId33" Type="http://schemas.openxmlformats.org/officeDocument/2006/relationships/hyperlink" Target="http://www.pref.hokkaido.lg.jp/hf/kth/kak/kisyakaiken0222kisya.pdf" TargetMode="External"/><Relationship Id="rId32" Type="http://schemas.openxmlformats.org/officeDocument/2006/relationships/hyperlink" Target="http://www.pref.hokkaido.lg.jp/hf/kth/kak/hasseijoukyou.htm" TargetMode="External"/><Relationship Id="rId35" Type="http://schemas.openxmlformats.org/officeDocument/2006/relationships/hyperlink" Target="http://www.pref.hokkaido.lg.jp/hf/kth/kak/singatakoronahaienkannjya19-26rere.pdf" TargetMode="External"/><Relationship Id="rId34" Type="http://schemas.openxmlformats.org/officeDocument/2006/relationships/hyperlink" Target="http://www.pref.hokkaido.lg.jp/hf/kth/kak/hasseijoukyou.htm" TargetMode="External"/><Relationship Id="rId739" Type="http://schemas.openxmlformats.org/officeDocument/2006/relationships/hyperlink" Target="http://www.pref.osaka.lg.jp/hodo/attach/hodo-37955_4.pdf" TargetMode="External"/><Relationship Id="rId734" Type="http://schemas.openxmlformats.org/officeDocument/2006/relationships/hyperlink" Target="http://www.pref.osaka.lg.jp/hodo/attach/hodo-37955_4.pdf" TargetMode="External"/><Relationship Id="rId976" Type="http://schemas.openxmlformats.org/officeDocument/2006/relationships/hyperlink" Target="https://www.city.hiroshima.lg.jp/uploaded/attachment/112017.pdf" TargetMode="External"/><Relationship Id="rId733" Type="http://schemas.openxmlformats.org/officeDocument/2006/relationships/hyperlink" Target="http://www.pref.osaka.lg.jp/hodo/attach/hodo-37955_4.pdf" TargetMode="External"/><Relationship Id="rId975" Type="http://schemas.openxmlformats.org/officeDocument/2006/relationships/hyperlink" Target="https://www.pref.hiroshima.lg.jp/uploaded/attachment/384026.pdf" TargetMode="External"/><Relationship Id="rId732" Type="http://schemas.openxmlformats.org/officeDocument/2006/relationships/hyperlink" Target="http://www.pref.osaka.lg.jp/hodo/attach/hodo-37955_4.pdf" TargetMode="External"/><Relationship Id="rId974" Type="http://schemas.openxmlformats.org/officeDocument/2006/relationships/hyperlink" Target="https://www.pref.okayama.jp/uploaded/attachment/269634.pdf" TargetMode="External"/><Relationship Id="rId731" Type="http://schemas.openxmlformats.org/officeDocument/2006/relationships/hyperlink" Target="http://www.pref.osaka.lg.jp/hodo/attach/hodo-37902_4.pdf" TargetMode="External"/><Relationship Id="rId973" Type="http://schemas.openxmlformats.org/officeDocument/2006/relationships/hyperlink" Target="https://www.pref.okayama.jp/uploaded/attachment/269634.pdf" TargetMode="External"/><Relationship Id="rId738" Type="http://schemas.openxmlformats.org/officeDocument/2006/relationships/hyperlink" Target="http://www.pref.osaka.lg.jp/hodo/attach/hodo-37913_4.pdf" TargetMode="External"/><Relationship Id="rId737" Type="http://schemas.openxmlformats.org/officeDocument/2006/relationships/hyperlink" Target="http://www.pref.osaka.lg.jp/hodo/attach/hodo-37907_4.pdf" TargetMode="External"/><Relationship Id="rId979" Type="http://schemas.openxmlformats.org/officeDocument/2006/relationships/hyperlink" Target="https://www.pref.yamaguchi.lg.jp/cms/a15200/kansensyou/koronahassei.html" TargetMode="External"/><Relationship Id="rId736" Type="http://schemas.openxmlformats.org/officeDocument/2006/relationships/hyperlink" Target="http://www.pref.osaka.lg.jp/hodo/attach/hodo-37645_5.pdf" TargetMode="External"/><Relationship Id="rId978" Type="http://schemas.openxmlformats.org/officeDocument/2006/relationships/hyperlink" Target="http://www.city.shimonoseki.lg.jp/www/contents/1583381707607/index.html" TargetMode="External"/><Relationship Id="rId735" Type="http://schemas.openxmlformats.org/officeDocument/2006/relationships/hyperlink" Target="http://www.pref.osaka.lg.jp/hodo/attach/hodo-37645_5.pdf" TargetMode="External"/><Relationship Id="rId977" Type="http://schemas.openxmlformats.org/officeDocument/2006/relationships/hyperlink" Target="http://www.city.shimonoseki.lg.jp/www/contents/1583381707607/index.html" TargetMode="External"/><Relationship Id="rId37" Type="http://schemas.openxmlformats.org/officeDocument/2006/relationships/hyperlink" Target="http://www.pref.hokkaido.lg.jp/hf/kth/kak/singatakoronahaienkannjya19-20.pdf" TargetMode="External"/><Relationship Id="rId36" Type="http://schemas.openxmlformats.org/officeDocument/2006/relationships/hyperlink" Target="http://www.pref.hokkaido.lg.jp/hf/kth/kak/singatakoronahaienkannjya42-54re.pdf" TargetMode="External"/><Relationship Id="rId39" Type="http://schemas.openxmlformats.org/officeDocument/2006/relationships/hyperlink" Target="http://www.pref.hokkaido.lg.jp/hf/kth/kak/singatakoronahaienkannjya29-30new.pdf" TargetMode="External"/><Relationship Id="rId38" Type="http://schemas.openxmlformats.org/officeDocument/2006/relationships/hyperlink" Target="http://www.pref.hokkaido.lg.jp/hf/kth/kak/singatakoronahaienkannjya19-26rere.pdf" TargetMode="External"/><Relationship Id="rId730" Type="http://schemas.openxmlformats.org/officeDocument/2006/relationships/hyperlink" Target="http://www.pref.osaka.lg.jp/hodo/attach/hodo-37932_4.pdf" TargetMode="External"/><Relationship Id="rId972" Type="http://schemas.openxmlformats.org/officeDocument/2006/relationships/hyperlink" Target="https://www.pref.okayama.jp/uploaded/attachment/269351.pdf;http://medica.sanyonews.jp/article/13372" TargetMode="External"/><Relationship Id="rId971" Type="http://schemas.openxmlformats.org/officeDocument/2006/relationships/hyperlink" Target="http://www.city.okayama.jp/contents/000406972.pdf" TargetMode="External"/><Relationship Id="rId1320" Type="http://schemas.openxmlformats.org/officeDocument/2006/relationships/table" Target="../tables/table1.xml"/><Relationship Id="rId970" Type="http://schemas.openxmlformats.org/officeDocument/2006/relationships/hyperlink" Target="https://www.pref.wakayama.lg.jp/prefg/041200/d00203387.html" TargetMode="External"/><Relationship Id="rId1114" Type="http://schemas.openxmlformats.org/officeDocument/2006/relationships/hyperlink" Target="http://www.city.kumamoto.jp/common/UploadFileDsp.aspx?c_id=5&amp;id=26562&amp;sub_id=186&amp;flid=200787" TargetMode="External"/><Relationship Id="rId1115" Type="http://schemas.openxmlformats.org/officeDocument/2006/relationships/hyperlink" Target="http://www.pref.oita.jp/uploaded/attachment/2074590.pdf;https://news.livedoor.com/article/detail/18003925/" TargetMode="External"/><Relationship Id="rId20" Type="http://schemas.openxmlformats.org/officeDocument/2006/relationships/hyperlink" Target="https://www.pref.okinawa.jp/site/hoken/chiikihoken/kekkaku/press/documents/20200407_covid19_13.pdf" TargetMode="External"/><Relationship Id="rId1116" Type="http://schemas.openxmlformats.org/officeDocument/2006/relationships/hyperlink" Target="http://www.pref.oita.jp/uploaded/attachment/2074679.pdf;https://news.livedoor.com/article/detail/18003925/" TargetMode="External"/><Relationship Id="rId1117" Type="http://schemas.openxmlformats.org/officeDocument/2006/relationships/hyperlink" Target="https://news.livedoor.com/article/detail/18003925/" TargetMode="External"/><Relationship Id="rId22" Type="http://schemas.openxmlformats.org/officeDocument/2006/relationships/hyperlink" Target="http://www.pref.hokkaido.lg.jp/hf/kth/kak/hasseijoukyou.htm" TargetMode="External"/><Relationship Id="rId1118" Type="http://schemas.openxmlformats.org/officeDocument/2006/relationships/hyperlink" Target="https://www.oita-press.co.jp/1010000000/2020/03/23/JD0059080799" TargetMode="External"/><Relationship Id="rId21" Type="http://schemas.openxmlformats.org/officeDocument/2006/relationships/hyperlink" Target="http://www.pref.hokkaido.lg.jp/hf/kth/kak/hasseijoukyou.htm" TargetMode="External"/><Relationship Id="rId1119" Type="http://schemas.openxmlformats.org/officeDocument/2006/relationships/hyperlink" Target="https://news.livedoor.com/article/detail/18003925/" TargetMode="External"/><Relationship Id="rId24" Type="http://schemas.openxmlformats.org/officeDocument/2006/relationships/hyperlink" Target="http://www.pref.hokkaido.lg.jp/hf/kth/kak/hasseijoukyou.htm" TargetMode="External"/><Relationship Id="rId23" Type="http://schemas.openxmlformats.org/officeDocument/2006/relationships/hyperlink" Target="http://www.pref.hokkaido.lg.jp/hf/kth/kak/hasseijoukyou.htm" TargetMode="External"/><Relationship Id="rId525" Type="http://schemas.openxmlformats.org/officeDocument/2006/relationships/hyperlink" Target="http://www.city.nagoya.jp/kenkofukushi/cmsfiles/contents/0000126/126920/R20308kisya.pdf" TargetMode="External"/><Relationship Id="rId767" Type="http://schemas.openxmlformats.org/officeDocument/2006/relationships/hyperlink" Target="http://www.pref.osaka.lg.jp/hodo/attach/hodo-37949_4.pdf" TargetMode="External"/><Relationship Id="rId524" Type="http://schemas.openxmlformats.org/officeDocument/2006/relationships/hyperlink" Target="http://www.city.nagoya.jp/kenkofukushi/cmsfiles/contents/0000126/126920/R20312kisya(youseikanjya).pdf" TargetMode="External"/><Relationship Id="rId766" Type="http://schemas.openxmlformats.org/officeDocument/2006/relationships/hyperlink" Target="http://www.pref.osaka.lg.jp/hodo/attach/hodo-37656_5.pdf" TargetMode="External"/><Relationship Id="rId523" Type="http://schemas.openxmlformats.org/officeDocument/2006/relationships/hyperlink" Target="http://www.city.nagoya.jp/kenkofukushi/cmsfiles/contents/0000126/126920/R20308kisya.pdf" TargetMode="External"/><Relationship Id="rId765" Type="http://schemas.openxmlformats.org/officeDocument/2006/relationships/hyperlink" Target="http://www.pref.osaka.lg.jp/hodo/attach/hodo-37932_4.pdf" TargetMode="External"/><Relationship Id="rId522" Type="http://schemas.openxmlformats.org/officeDocument/2006/relationships/hyperlink" Target="http://www.city.nagoya.jp/kenkofukushi/cmsfiles/contents/0000126/126920/200320kisya.pdf" TargetMode="External"/><Relationship Id="rId764" Type="http://schemas.openxmlformats.org/officeDocument/2006/relationships/hyperlink" Target="http://www.pref.osaka.lg.jp/hodo/attach/hodo-37932_4.pdf" TargetMode="External"/><Relationship Id="rId529" Type="http://schemas.openxmlformats.org/officeDocument/2006/relationships/hyperlink" Target="http://www.city.nagoya.jp/kenkofukushi/cmsfiles/contents/0000126/126920/R20221kisya.pdf;https://www.chunichi.co.jp/article/feature/coronavirus/list/CK2020031402000209.html" TargetMode="External"/><Relationship Id="rId528" Type="http://schemas.openxmlformats.org/officeDocument/2006/relationships/hyperlink" Target="http://www.city.nagoya.jp/kenkofukushi/cmsfiles/contents/0000126/126920/R20309kisya.pdf" TargetMode="External"/><Relationship Id="rId527" Type="http://schemas.openxmlformats.org/officeDocument/2006/relationships/hyperlink" Target="http://www.city.nagoya.jp/kenkofukushi/cmsfiles/contents/0000126/126920/200320kisya.pdf" TargetMode="External"/><Relationship Id="rId769" Type="http://schemas.openxmlformats.org/officeDocument/2006/relationships/hyperlink" Target="http://www.pref.osaka.lg.jp/hodo/attach/hodo-37680_5.pdf" TargetMode="External"/><Relationship Id="rId526" Type="http://schemas.openxmlformats.org/officeDocument/2006/relationships/hyperlink" Target="http://www.city.nagoya.jp/kenkofukushi/cmsfiles/contents/0000126/126920/200314kannzyazyouhou.pdf" TargetMode="External"/><Relationship Id="rId768" Type="http://schemas.openxmlformats.org/officeDocument/2006/relationships/hyperlink" Target="http://www.pref.osaka.lg.jp/hodo/attach/hodo-37656_5.pdf" TargetMode="External"/><Relationship Id="rId26" Type="http://schemas.openxmlformats.org/officeDocument/2006/relationships/hyperlink" Target="http://www.pref.hokkaido.lg.jp/hf/kth/kak/hasseijoukyou.htm" TargetMode="External"/><Relationship Id="rId25" Type="http://schemas.openxmlformats.org/officeDocument/2006/relationships/hyperlink" Target="http://www.pref.hokkaido.lg.jp/hf/kth/kak/hasseijoukyou.htm" TargetMode="External"/><Relationship Id="rId28" Type="http://schemas.openxmlformats.org/officeDocument/2006/relationships/hyperlink" Target="http://www.pref.hokkaido.lg.jp/hf/kth/kak/hasseijoukyou.htm" TargetMode="External"/><Relationship Id="rId27" Type="http://schemas.openxmlformats.org/officeDocument/2006/relationships/hyperlink" Target="http://www.pref.hokkaido.lg.jp/hf/kth/kak/hasseijoukyou.htm" TargetMode="External"/><Relationship Id="rId521" Type="http://schemas.openxmlformats.org/officeDocument/2006/relationships/hyperlink" Target="http://www.city.nagoya.jp/kenkofukushi/cmsfiles/contents/0000126/126920/R20310kisya.pdf" TargetMode="External"/><Relationship Id="rId763" Type="http://schemas.openxmlformats.org/officeDocument/2006/relationships/hyperlink" Target="http://www.pref.osaka.lg.jp/hodo/attach/hodo-37938_4.pdf" TargetMode="External"/><Relationship Id="rId1110" Type="http://schemas.openxmlformats.org/officeDocument/2006/relationships/hyperlink" Target="https://www.pref.kumamoto.jp/common/UploadFileOutput.ashx?c_id=3&amp;id=30386&amp;sub_id=86&amp;flid=230667" TargetMode="External"/><Relationship Id="rId29" Type="http://schemas.openxmlformats.org/officeDocument/2006/relationships/hyperlink" Target="http://www.pref.hokkaido.lg.jp/hf/kth/kak/hasseijoukyou.htm" TargetMode="External"/><Relationship Id="rId520" Type="http://schemas.openxmlformats.org/officeDocument/2006/relationships/hyperlink" Target="http://www.city.nagoya.jp/kenkofukushi/cmsfiles/contents/0000126/126920/R20310kisya.pdf" TargetMode="External"/><Relationship Id="rId762" Type="http://schemas.openxmlformats.org/officeDocument/2006/relationships/hyperlink" Target="http://www.pref.osaka.lg.jp/hodo/attach/hodo-37656_5.pdf" TargetMode="External"/><Relationship Id="rId1111" Type="http://schemas.openxmlformats.org/officeDocument/2006/relationships/hyperlink" Target="http://www.city.kumamoto.jp/common/UploadFileDsp.aspx?c_id=5&amp;id=26562&amp;sub_id=186&amp;flid=200787" TargetMode="External"/><Relationship Id="rId761" Type="http://schemas.openxmlformats.org/officeDocument/2006/relationships/hyperlink" Target="http://www.pref.osaka.lg.jp/hodo/attach/hodo-37932_4.pdf" TargetMode="External"/><Relationship Id="rId1112" Type="http://schemas.openxmlformats.org/officeDocument/2006/relationships/hyperlink" Target="http://www.city.kumamoto.jp/common/UploadFileDsp.aspx?c_id=5&amp;id=26562&amp;sub_id=185&amp;flid=200784" TargetMode="External"/><Relationship Id="rId760" Type="http://schemas.openxmlformats.org/officeDocument/2006/relationships/hyperlink" Target="http://www.pref.osaka.lg.jp/hodo/attach/hodo-37955_4.pdf" TargetMode="External"/><Relationship Id="rId1113" Type="http://schemas.openxmlformats.org/officeDocument/2006/relationships/hyperlink" Target="http://www.city.kumamoto.jp/common/UploadFileDsp.aspx?c_id=5&amp;id=26562&amp;sub_id=185&amp;flid=200785" TargetMode="External"/><Relationship Id="rId1103" Type="http://schemas.openxmlformats.org/officeDocument/2006/relationships/hyperlink" Target="https://www.pref.nagasaki.jp/shared/uploads/2020/04/1586001476.pdf" TargetMode="External"/><Relationship Id="rId1104" Type="http://schemas.openxmlformats.org/officeDocument/2006/relationships/hyperlink" Target="https://www.pref.nagasaki.jp/shared/uploads/2020/04/1585869772.pdf" TargetMode="External"/><Relationship Id="rId1105" Type="http://schemas.openxmlformats.org/officeDocument/2006/relationships/hyperlink" Target="https://www.city.sasebo.lg.jp/hokenhukusi/kenkou/documents/houdoushiryou-2reime-r020402-2300.pdf" TargetMode="External"/><Relationship Id="rId1106" Type="http://schemas.openxmlformats.org/officeDocument/2006/relationships/hyperlink" Target="https://www.city.sasebo.lg.jp/hokenhukusi/kenkou/documents/houdoushiryou-3reime-r020402-2300.pdf" TargetMode="External"/><Relationship Id="rId11" Type="http://schemas.openxmlformats.org/officeDocument/2006/relationships/hyperlink" Target="http://www.pref.oita.jp/uploaded/attachment/2077629.pdf" TargetMode="External"/><Relationship Id="rId1107" Type="http://schemas.openxmlformats.org/officeDocument/2006/relationships/hyperlink" Target="https://www.pref.nagasaki.jp/shared/uploads/2020/04/1585980258.pdf" TargetMode="External"/><Relationship Id="rId10" Type="http://schemas.openxmlformats.org/officeDocument/2006/relationships/hyperlink" Target="http://www.pref.oita.jp/uploaded/attachment/2077629.pdf" TargetMode="External"/><Relationship Id="rId1108" Type="http://schemas.openxmlformats.org/officeDocument/2006/relationships/hyperlink" Target="http://www.city.kumamoto.jp/common/UploadFileDsp.aspx?c_id=5&amp;id=26562&amp;sub_id=195&amp;flid=201039" TargetMode="External"/><Relationship Id="rId13" Type="http://schemas.openxmlformats.org/officeDocument/2006/relationships/hyperlink" Target="http://www.pref.oita.jp/uploaded/attachment/2077629.pdf" TargetMode="External"/><Relationship Id="rId1109" Type="http://schemas.openxmlformats.org/officeDocument/2006/relationships/hyperlink" Target="http://www.city.kumamoto.jp/common/UploadFileDsp.aspx?c_id=5&amp;id=26562&amp;sub_id=214&amp;flid=201575" TargetMode="External"/><Relationship Id="rId12" Type="http://schemas.openxmlformats.org/officeDocument/2006/relationships/hyperlink" Target="http://www.pref.oita.jp/uploaded/attachment/2077629.pdf" TargetMode="External"/><Relationship Id="rId519" Type="http://schemas.openxmlformats.org/officeDocument/2006/relationships/hyperlink" Target="http://www.city.nagoya.jp/kenkofukushi/cmsfiles/contents/0000126/126920/R20310kisya.pdf" TargetMode="External"/><Relationship Id="rId514" Type="http://schemas.openxmlformats.org/officeDocument/2006/relationships/hyperlink" Target="http://www.city.nagoya.jp/kenkofukushi/cmsfiles/contents/0000126/126920/R20308kisya.pdf" TargetMode="External"/><Relationship Id="rId756" Type="http://schemas.openxmlformats.org/officeDocument/2006/relationships/hyperlink" Target="http://www.pref.osaka.lg.jp/hodo/attach/hodo-37938_4.pdf" TargetMode="External"/><Relationship Id="rId998" Type="http://schemas.openxmlformats.org/officeDocument/2006/relationships/hyperlink" Target="https://www.pref.kochi.lg.jp/soshiki/130401/files/2020022900049/file_2020413164127_1.pdf" TargetMode="External"/><Relationship Id="rId513" Type="http://schemas.openxmlformats.org/officeDocument/2006/relationships/hyperlink" Target="http://www.city.nagoya.jp/kenkofukushi/cmsfiles/contents/0000126/126920/R20310kisya.pdf" TargetMode="External"/><Relationship Id="rId755" Type="http://schemas.openxmlformats.org/officeDocument/2006/relationships/hyperlink" Target="http://www.pref.osaka.lg.jp/hodo/attach/hodo-37938_4.pdf" TargetMode="External"/><Relationship Id="rId997" Type="http://schemas.openxmlformats.org/officeDocument/2006/relationships/hyperlink" Target="https://www.pref.kochi.lg.jp/soshiki/130401/files/2020022900049/file_20203312175933_1.pdf" TargetMode="External"/><Relationship Id="rId512" Type="http://schemas.openxmlformats.org/officeDocument/2006/relationships/hyperlink" Target="http://www.city.nagoya.jp/kenkofukushi/cmsfiles/contents/0000126/126920/R20308kisya.pdf" TargetMode="External"/><Relationship Id="rId754" Type="http://schemas.openxmlformats.org/officeDocument/2006/relationships/hyperlink" Target="http://www.pref.osaka.lg.jp/hodo/attach/hodo-37938_4.pdf" TargetMode="External"/><Relationship Id="rId996" Type="http://schemas.openxmlformats.org/officeDocument/2006/relationships/hyperlink" Target="https://www.pref.kochi.lg.jp/soshiki/130401/files/2020022900049/file_20203290161349_1.pdf" TargetMode="External"/><Relationship Id="rId511" Type="http://schemas.openxmlformats.org/officeDocument/2006/relationships/hyperlink" Target="http://www.city.nagoya.jp/kenkofukushi/cmsfiles/contents/0000126/126920/R20307kisya.pdf" TargetMode="External"/><Relationship Id="rId753" Type="http://schemas.openxmlformats.org/officeDocument/2006/relationships/hyperlink" Target="http://www.pref.osaka.lg.jp/hodo/attach/hodo-37934_4.pdf" TargetMode="External"/><Relationship Id="rId995" Type="http://schemas.openxmlformats.org/officeDocument/2006/relationships/hyperlink" Target="https://www.pref.kochi.lg.jp/soshiki/130401/files/2020022900049/file_2020380164017_1.pdf" TargetMode="External"/><Relationship Id="rId518" Type="http://schemas.openxmlformats.org/officeDocument/2006/relationships/hyperlink" Target="http://www.city.nagoya.jp/kenkofukushi/cmsfiles/contents/0000126/126920/R20310kisya.pdf" TargetMode="External"/><Relationship Id="rId517" Type="http://schemas.openxmlformats.org/officeDocument/2006/relationships/hyperlink" Target="http://www.city.nagoya.jp/kenkofukushi/cmsfiles/contents/0000126/126920/R20308kisya.pdf" TargetMode="External"/><Relationship Id="rId759" Type="http://schemas.openxmlformats.org/officeDocument/2006/relationships/hyperlink" Target="http://www.pref.osaka.lg.jp/hodo/attach/hodo-37955_4.pdf" TargetMode="External"/><Relationship Id="rId516" Type="http://schemas.openxmlformats.org/officeDocument/2006/relationships/hyperlink" Target="http://www.city.nagoya.jp/kenkofukushi/cmsfiles/contents/0000126/126920/200313kannzyazyouhou.pdf" TargetMode="External"/><Relationship Id="rId758" Type="http://schemas.openxmlformats.org/officeDocument/2006/relationships/hyperlink" Target="http://www.pref.osaka.lg.jp/hodo/attach/hodo-37938_4.pdf" TargetMode="External"/><Relationship Id="rId515" Type="http://schemas.openxmlformats.org/officeDocument/2006/relationships/hyperlink" Target="http://www.city.nagoya.jp/kenkofukushi/cmsfiles/contents/0000126/126920/R20310kisya.pdf" TargetMode="External"/><Relationship Id="rId757" Type="http://schemas.openxmlformats.org/officeDocument/2006/relationships/hyperlink" Target="http://www.pref.osaka.lg.jp/hodo/attach/hodo-37938_4.pdf" TargetMode="External"/><Relationship Id="rId999" Type="http://schemas.openxmlformats.org/officeDocument/2006/relationships/hyperlink" Target="https://www.pref.kochi.lg.jp/soshiki/130401/files/2020022900049/0402.pdf" TargetMode="External"/><Relationship Id="rId15" Type="http://schemas.openxmlformats.org/officeDocument/2006/relationships/hyperlink" Target="https://www.pref.miyazaki.lg.jp/kohosenryaku/kenko/hoken/covid19_20200408.html" TargetMode="External"/><Relationship Id="rId990" Type="http://schemas.openxmlformats.org/officeDocument/2006/relationships/hyperlink" Target="https://www.pref.ehime.jp/h25500/kansen/documents/020403press_2.pdf" TargetMode="External"/><Relationship Id="rId14" Type="http://schemas.openxmlformats.org/officeDocument/2006/relationships/hyperlink" Target="https://www.pref.miyazaki.lg.jp/kohosenryaku/kenko/hoken/covid19_20200408.html" TargetMode="External"/><Relationship Id="rId17" Type="http://schemas.openxmlformats.org/officeDocument/2006/relationships/hyperlink" Target="https://www.pref.miyazaki.lg.jp/kohosenryaku/kenko/hoken/covid19_20200408.html" TargetMode="External"/><Relationship Id="rId16" Type="http://schemas.openxmlformats.org/officeDocument/2006/relationships/hyperlink" Target="https://www.pref.miyazaki.lg.jp/kohosenryaku/kenko/hoken/covid19_20200408.html" TargetMode="External"/><Relationship Id="rId19" Type="http://schemas.openxmlformats.org/officeDocument/2006/relationships/hyperlink" Target="https://www.pref.okinawa.jp/site/hoken/chiikihoken/kekkaku/press/documents/20200407_covid19_13.pdf" TargetMode="External"/><Relationship Id="rId510" Type="http://schemas.openxmlformats.org/officeDocument/2006/relationships/hyperlink" Target="http://www.city.nagoya.jp/kenkofukushi/cmsfiles/contents/0000126/126920/R20312kisya(youseikanjya).pdf" TargetMode="External"/><Relationship Id="rId752" Type="http://schemas.openxmlformats.org/officeDocument/2006/relationships/hyperlink" Target="http://www.pref.osaka.lg.jp/hodo/attach/hodo-37934_4.pdf" TargetMode="External"/><Relationship Id="rId994" Type="http://schemas.openxmlformats.org/officeDocument/2006/relationships/hyperlink" Target="https://www.pref.kochi.lg.jp/soshiki/130401/files/2020022900049/case4-6.pdf" TargetMode="External"/><Relationship Id="rId18" Type="http://schemas.openxmlformats.org/officeDocument/2006/relationships/hyperlink" Target="https://www.pref.okinawa.jp/site/hoken/chiikihoken/kekkaku/press/documents/20200407_covid19_13.pdf" TargetMode="External"/><Relationship Id="rId751" Type="http://schemas.openxmlformats.org/officeDocument/2006/relationships/hyperlink" Target="http://www.pref.osaka.lg.jp/hodo/attach/hodo-37934_4.pdf" TargetMode="External"/><Relationship Id="rId993" Type="http://schemas.openxmlformats.org/officeDocument/2006/relationships/hyperlink" Target="https://www.pref.kochi.lg.jp/soshiki/130401/files/2020022900049/case-3.pdf" TargetMode="External"/><Relationship Id="rId1100" Type="http://schemas.openxmlformats.org/officeDocument/2006/relationships/hyperlink" Target="https://www.pref.saga.lg.jp/kiji00373220/index.html" TargetMode="External"/><Relationship Id="rId750" Type="http://schemas.openxmlformats.org/officeDocument/2006/relationships/hyperlink" Target="http://www.pref.osaka.lg.jp/hodo/attach/hodo-37907_4.pdf" TargetMode="External"/><Relationship Id="rId992" Type="http://schemas.openxmlformats.org/officeDocument/2006/relationships/hyperlink" Target="https://www.pref.kochi.lg.jp/soshiki/130401/files/2020022900049/case-2.pdf" TargetMode="External"/><Relationship Id="rId1101" Type="http://schemas.openxmlformats.org/officeDocument/2006/relationships/hyperlink" Target="https://www.town.miyaki.lg.jp/var/rev0/0007/5260/12045112638.pdf" TargetMode="External"/><Relationship Id="rId991" Type="http://schemas.openxmlformats.org/officeDocument/2006/relationships/hyperlink" Target="https://www.pref.ehime.jp/h25500/kansen/documents/020406press_1.pdf" TargetMode="External"/><Relationship Id="rId1102" Type="http://schemas.openxmlformats.org/officeDocument/2006/relationships/hyperlink" Target="https://www.town.miyaki.lg.jp/var/rev0/0007/5260/12045112638.pdf" TargetMode="External"/><Relationship Id="rId84" Type="http://schemas.openxmlformats.org/officeDocument/2006/relationships/hyperlink" Target="https://www.pref.ibaraki.jp/1saigai/2019-ncov/documents/20033102.pdf" TargetMode="External"/><Relationship Id="rId83" Type="http://schemas.openxmlformats.org/officeDocument/2006/relationships/hyperlink" Target="https://www.pref.ibaraki.jp/1saigai/2019-ncov/documents/20033102.pdf" TargetMode="External"/><Relationship Id="rId86" Type="http://schemas.openxmlformats.org/officeDocument/2006/relationships/hyperlink" Target="http://www.pref.tochigi.lg.jp/e04/welfare/hoken-eisei/kansen/hp/documents/200331hasseijyoukyou.pdf" TargetMode="External"/><Relationship Id="rId85" Type="http://schemas.openxmlformats.org/officeDocument/2006/relationships/hyperlink" Target="http://www.pref.tochigi.lg.jp/e04/welfare/hoken-eisei/kansen/hp/documents/2reime.pdf" TargetMode="External"/><Relationship Id="rId88" Type="http://schemas.openxmlformats.org/officeDocument/2006/relationships/hyperlink" Target="http://www.pref.tochigi.lg.jp/e04/welfare/hoken-eisei/kansen/hp/documents/200331hasseijyoukyou.pdf" TargetMode="External"/><Relationship Id="rId87" Type="http://schemas.openxmlformats.org/officeDocument/2006/relationships/hyperlink" Target="http://www.pref.tochigi.lg.jp/e04/welfare/hoken-eisei/kansen/hp/documents/200331hasseijyoukyou.pdf" TargetMode="External"/><Relationship Id="rId89" Type="http://schemas.openxmlformats.org/officeDocument/2006/relationships/hyperlink" Target="http://www.pref.tochigi.lg.jp/e04/welfare/hoken-eisei/kansen/hp/documents/11reime.pdf" TargetMode="External"/><Relationship Id="rId709" Type="http://schemas.openxmlformats.org/officeDocument/2006/relationships/hyperlink" Target="http://www.pref.osaka.lg.jp/hodo/attach/hodo-37907_4.pdf" TargetMode="External"/><Relationship Id="rId708" Type="http://schemas.openxmlformats.org/officeDocument/2006/relationships/hyperlink" Target="http://www.pref.osaka.lg.jp/hodo/attach/hodo-37907_4.pdf" TargetMode="External"/><Relationship Id="rId707" Type="http://schemas.openxmlformats.org/officeDocument/2006/relationships/hyperlink" Target="http://www.pref.osaka.lg.jp/hodo/attach/hodo-37694_4.pdf" TargetMode="External"/><Relationship Id="rId949" Type="http://schemas.openxmlformats.org/officeDocument/2006/relationships/hyperlink" Target="https://web.pref.hyogo.lg.jp/kk03/documents/0318corona_kanjya.pdf;https://www.city.kobe.lg.jp/a57337/kenko/health/corona_tsushokaigo2.html" TargetMode="External"/><Relationship Id="rId706" Type="http://schemas.openxmlformats.org/officeDocument/2006/relationships/hyperlink" Target="http://www.pref.osaka.lg.jp/hodo/attach/hodo-37645_5.pdf" TargetMode="External"/><Relationship Id="rId948" Type="http://schemas.openxmlformats.org/officeDocument/2006/relationships/hyperlink" Target="https://web.pref.hyogo.lg.jp/kk03/corona_hasseijyokyo.html;https://www.city.kobe.lg.jp/a73576/coronavirus11_16.html" TargetMode="External"/><Relationship Id="rId80" Type="http://schemas.openxmlformats.org/officeDocument/2006/relationships/hyperlink" Target="https://www.pref.ibaraki.jp/1saigai/2019-ncov/documents/20033102.pdf" TargetMode="External"/><Relationship Id="rId82" Type="http://schemas.openxmlformats.org/officeDocument/2006/relationships/hyperlink" Target="https://www.pref.ibaraki.jp/1saigai/2019-ncov/documents/20033102.pdf" TargetMode="External"/><Relationship Id="rId81" Type="http://schemas.openxmlformats.org/officeDocument/2006/relationships/hyperlink" Target="https://www.pref.ibaraki.jp/1saigai/2019-ncov/documents/20033102.pdf" TargetMode="External"/><Relationship Id="rId701" Type="http://schemas.openxmlformats.org/officeDocument/2006/relationships/hyperlink" Target="http://www.pref.osaka.lg.jp/hodo/attach/hodo-37890_4.pdf" TargetMode="External"/><Relationship Id="rId943" Type="http://schemas.openxmlformats.org/officeDocument/2006/relationships/hyperlink" Target="https://web.pref.hyogo.lg.jp/kk03/corona_hasseijyokyo.html;https://www.city.kobe.lg.jp/a73576/coronavirus11_16.html" TargetMode="External"/><Relationship Id="rId700" Type="http://schemas.openxmlformats.org/officeDocument/2006/relationships/hyperlink" Target="http://www.pref.osaka.lg.jp/hodo/attach/hodo-37890_4.pdf" TargetMode="External"/><Relationship Id="rId942" Type="http://schemas.openxmlformats.org/officeDocument/2006/relationships/hyperlink" Target="https://web.pref.hyogo.lg.jp/kk03/corona_hasseijyokyo.html" TargetMode="External"/><Relationship Id="rId941" Type="http://schemas.openxmlformats.org/officeDocument/2006/relationships/hyperlink" Target="https://web.pref.hyogo.lg.jp/kk03/corona_hasseijyokyo.html" TargetMode="External"/><Relationship Id="rId940" Type="http://schemas.openxmlformats.org/officeDocument/2006/relationships/hyperlink" Target="https://www.jiji.com/jc/article?k=2020031100489&amp;g=soc" TargetMode="External"/><Relationship Id="rId705" Type="http://schemas.openxmlformats.org/officeDocument/2006/relationships/hyperlink" Target="http://www.pref.osaka.lg.jp/hodo/attach/hodo-37900_4.pdf" TargetMode="External"/><Relationship Id="rId947" Type="http://schemas.openxmlformats.org/officeDocument/2006/relationships/hyperlink" Target="https://www.city.himeji.lg.jp/emergencyinfo/cmsfiles/emergency/179/200306siryou.pdf" TargetMode="External"/><Relationship Id="rId704" Type="http://schemas.openxmlformats.org/officeDocument/2006/relationships/hyperlink" Target="http://www.pref.osaka.lg.jp/hodo/attach/hodo-37932_4.pdf" TargetMode="External"/><Relationship Id="rId946" Type="http://schemas.openxmlformats.org/officeDocument/2006/relationships/hyperlink" Target="https://web.pref.hyogo.lg.jp/kk03/corona_hasseijyokyo.html;https://www.city.kobe.lg.jp/a57337/kenko/health/corona_kaigotusho.html" TargetMode="External"/><Relationship Id="rId703" Type="http://schemas.openxmlformats.org/officeDocument/2006/relationships/hyperlink" Target="http://www.pref.osaka.lg.jp/hodo/attach/hodo-37900_4.pdf" TargetMode="External"/><Relationship Id="rId945" Type="http://schemas.openxmlformats.org/officeDocument/2006/relationships/hyperlink" Target="https://web.pref.hyogo.lg.jp/kk03/corona_hasseijyokyo.html;https://www.city.kobe.lg.jp/a73576/coronavirus11_16.html;https://web.pref.hyogo.lg.jp/kk03/corona_kanjyajyokyo.html" TargetMode="External"/><Relationship Id="rId702" Type="http://schemas.openxmlformats.org/officeDocument/2006/relationships/hyperlink" Target="http://www.pref.osaka.lg.jp/hodo/attach/hodo-37900_4.pdf" TargetMode="External"/><Relationship Id="rId944" Type="http://schemas.openxmlformats.org/officeDocument/2006/relationships/hyperlink" Target="https://web.pref.hyogo.lg.jp/kk03/corona_hasseijyokyo.html;https://www.city.kobe.lg.jp/a73576/coronavirus11_16.html" TargetMode="External"/><Relationship Id="rId73" Type="http://schemas.openxmlformats.org/officeDocument/2006/relationships/hyperlink" Target="https://www.pref.ibaraki.jp/1saigai/2019-ncov/documents/2003281415.pdf" TargetMode="External"/><Relationship Id="rId72" Type="http://schemas.openxmlformats.org/officeDocument/2006/relationships/hyperlink" Target="https://www.pref.ibaraki.jp/1saigai/2019-ncov/documents/2003281415.pdf" TargetMode="External"/><Relationship Id="rId75" Type="http://schemas.openxmlformats.org/officeDocument/2006/relationships/hyperlink" Target="https://www.pref.ibaraki.jp/1saigai/2019-ncov/documents/03302.pdf" TargetMode="External"/><Relationship Id="rId74" Type="http://schemas.openxmlformats.org/officeDocument/2006/relationships/hyperlink" Target="https://www.pref.ibaraki.jp/1saigai/2019-ncov/documents/03302.pdf" TargetMode="External"/><Relationship Id="rId77" Type="http://schemas.openxmlformats.org/officeDocument/2006/relationships/hyperlink" Target="https://www.pref.ibaraki.jp/1saigai/2019-ncov/documents/20033102.pdf" TargetMode="External"/><Relationship Id="rId76" Type="http://schemas.openxmlformats.org/officeDocument/2006/relationships/hyperlink" Target="https://www.pref.ibaraki.jp/1saigai/2019-ncov/documents/03302.pdf" TargetMode="External"/><Relationship Id="rId79" Type="http://schemas.openxmlformats.org/officeDocument/2006/relationships/hyperlink" Target="https://www.pref.ibaraki.jp/1saigai/2019-ncov/documents/20033102.pdf" TargetMode="External"/><Relationship Id="rId78" Type="http://schemas.openxmlformats.org/officeDocument/2006/relationships/hyperlink" Target="https://www.pref.ibaraki.jp/1saigai/2019-ncov/documents/20033102.pdf" TargetMode="External"/><Relationship Id="rId939" Type="http://schemas.openxmlformats.org/officeDocument/2006/relationships/hyperlink" Target="https://web.pref.hyogo.lg.jp/kk03/corona_hasseijyokyo.html" TargetMode="External"/><Relationship Id="rId938" Type="http://schemas.openxmlformats.org/officeDocument/2006/relationships/hyperlink" Target="https://web.pref.hyogo.lg.jp/kk03/corona_hasseijyokyo53-100.html" TargetMode="External"/><Relationship Id="rId937" Type="http://schemas.openxmlformats.org/officeDocument/2006/relationships/hyperlink" Target="https://web.pref.hyogo.lg.jp/kk03/corona_hasseijyokyo.html" TargetMode="External"/><Relationship Id="rId71" Type="http://schemas.openxmlformats.org/officeDocument/2006/relationships/hyperlink" Target="https://www.pref.ibaraki.jp/1saigai/2019-ncov/documents/2003281415.pdf" TargetMode="External"/><Relationship Id="rId70" Type="http://schemas.openxmlformats.org/officeDocument/2006/relationships/hyperlink" Target="https://www.pref.ibaraki.jp/1saigai/2019-ncov/documents/2003281415.pdf" TargetMode="External"/><Relationship Id="rId932" Type="http://schemas.openxmlformats.org/officeDocument/2006/relationships/hyperlink" Target="https://web.pref.hyogo.lg.jp/kk03/corona_hasseijyokyo.html" TargetMode="External"/><Relationship Id="rId931" Type="http://schemas.openxmlformats.org/officeDocument/2006/relationships/hyperlink" Target="https://web.pref.hyogo.lg.jp/kk03/corona_hasseijyokyo.html" TargetMode="External"/><Relationship Id="rId930" Type="http://schemas.openxmlformats.org/officeDocument/2006/relationships/hyperlink" Target="https://www.city.kobe.lg.jp/a57337/kenko/health/corona5reime.html" TargetMode="External"/><Relationship Id="rId936" Type="http://schemas.openxmlformats.org/officeDocument/2006/relationships/hyperlink" Target="https://web.pref.hyogo.lg.jp/kk03/corona_hasseijyokyo53-100.html" TargetMode="External"/><Relationship Id="rId935" Type="http://schemas.openxmlformats.org/officeDocument/2006/relationships/hyperlink" Target="https://web.pref.hyogo.lg.jp/kk03/corona_hasseijyokyo53-100.html" TargetMode="External"/><Relationship Id="rId934" Type="http://schemas.openxmlformats.org/officeDocument/2006/relationships/hyperlink" Target="https://www.city.kobe.lg.jp/a73576/coronavirus17_20.html" TargetMode="External"/><Relationship Id="rId933" Type="http://schemas.openxmlformats.org/officeDocument/2006/relationships/hyperlink" Target="https://www.city.kobe.lg.jp/a73576/coronavirus17_20.html" TargetMode="External"/><Relationship Id="rId62" Type="http://schemas.openxmlformats.org/officeDocument/2006/relationships/hyperlink" Target="https://www3.nhk.or.jp/news/html/20200403/k10012367731000.html" TargetMode="External"/><Relationship Id="rId1312" Type="http://schemas.openxmlformats.org/officeDocument/2006/relationships/hyperlink" Target="https://mainichi.jp/articles/20200319/k00/00m/040/283000c" TargetMode="External"/><Relationship Id="rId61" Type="http://schemas.openxmlformats.org/officeDocument/2006/relationships/hyperlink" Target="https://www3.nhk.or.jp/news/html/20200403/k10012367731000.html" TargetMode="External"/><Relationship Id="rId1313" Type="http://schemas.openxmlformats.org/officeDocument/2006/relationships/hyperlink" Target="http://www.eijuhp.com/news/jyuyo/news_20200325menkai.html" TargetMode="External"/><Relationship Id="rId64" Type="http://schemas.openxmlformats.org/officeDocument/2006/relationships/hyperlink" Target="https://www.pref.yamagata.jp/ou/bosai/020072/kochibou/coronavirus/pdf/14-19reime.pdf" TargetMode="External"/><Relationship Id="rId1314" Type="http://schemas.openxmlformats.org/officeDocument/2006/relationships/hyperlink" Target="http://www.eijuhp.com/news/jyuyo/news_20200325menkai.html" TargetMode="External"/><Relationship Id="rId63" Type="http://schemas.openxmlformats.org/officeDocument/2006/relationships/hyperlink" Target="https://www.pref.akita.lg.jp/uploads/public/archive_0000047957_00/R02.03.27%E3%80%80%E5%A0%B1%E9%81%93%E7%99%BA%E8%A1%A8%E8%B3%87%E6%96%99%EF%BC%883%E3%80%814%E4%BB%B6%E7%9B%AE%EF%BC%89.pdf;https://www.pref.akita.lg.jp/uploads/public/archive_0000047957_00/R02.03.28%E3%80%80%E5%A0%B1%E9%81%93%E7%99%BA%E8%A1%A8%E8%B3%87%E6%96%99%EF%BC%883%E3%80%814%E4%BE%8B%E7%9B%AE%EF%BC%9A%E8%BF%BD%E5%8A%A0%EF%BC%89.pdf" TargetMode="External"/><Relationship Id="rId1315" Type="http://schemas.openxmlformats.org/officeDocument/2006/relationships/hyperlink" Target="http://www.eijuhp.com/news/jyuyo/news_20200325menkai.html" TargetMode="External"/><Relationship Id="rId66" Type="http://schemas.openxmlformats.org/officeDocument/2006/relationships/hyperlink" Target="https://www.pref.fukushima.lg.jp/uploaded/attachment/379855.pdf" TargetMode="External"/><Relationship Id="rId1316" Type="http://schemas.openxmlformats.org/officeDocument/2006/relationships/hyperlink" Target="http://www.eijuhp.com/news/jyuyo/news_20200325menkai.html" TargetMode="External"/><Relationship Id="rId65" Type="http://schemas.openxmlformats.org/officeDocument/2006/relationships/hyperlink" Target="https://www.pref.fukushima.lg.jp/uploaded/attachment/375483.pdf" TargetMode="External"/><Relationship Id="rId1317" Type="http://schemas.openxmlformats.org/officeDocument/2006/relationships/drawing" Target="../drawings/drawing2.xml"/><Relationship Id="rId68" Type="http://schemas.openxmlformats.org/officeDocument/2006/relationships/hyperlink" Target="https://www.pref.ibaraki.jp/1saigai/2019-ncov/documents/032711.pdf" TargetMode="External"/><Relationship Id="rId1318" Type="http://schemas.openxmlformats.org/officeDocument/2006/relationships/vmlDrawing" Target="../drawings/vmlDrawing2.vml"/><Relationship Id="rId67" Type="http://schemas.openxmlformats.org/officeDocument/2006/relationships/hyperlink" Target="https://www.pref.fukushima.lg.jp/uploaded/attachment/379854.pdf" TargetMode="External"/><Relationship Id="rId729" Type="http://schemas.openxmlformats.org/officeDocument/2006/relationships/hyperlink" Target="http://www.pref.osaka.lg.jp/hodo/attach/hodo-37902_4.pdf" TargetMode="External"/><Relationship Id="rId728" Type="http://schemas.openxmlformats.org/officeDocument/2006/relationships/hyperlink" Target="http://www.pref.osaka.lg.jp/hodo/attach/hodo-37932_4.pdf" TargetMode="External"/><Relationship Id="rId60" Type="http://schemas.openxmlformats.org/officeDocument/2006/relationships/hyperlink" Target="https://www3.nhk.or.jp/news/html/20200403/k10012367731000.html" TargetMode="External"/><Relationship Id="rId723" Type="http://schemas.openxmlformats.org/officeDocument/2006/relationships/hyperlink" Target="http://www.pref.osaka.lg.jp/hodo/attach/hodo-37902_4.pdf" TargetMode="External"/><Relationship Id="rId965" Type="http://schemas.openxmlformats.org/officeDocument/2006/relationships/hyperlink" Target="https://www.pref.wakayama.lg.jp/prefg/041200/d00203387.html" TargetMode="External"/><Relationship Id="rId722" Type="http://schemas.openxmlformats.org/officeDocument/2006/relationships/hyperlink" Target="http://www.pref.osaka.lg.jp/hodo/attach/hodo-37907_4.pdf" TargetMode="External"/><Relationship Id="rId964" Type="http://schemas.openxmlformats.org/officeDocument/2006/relationships/hyperlink" Target="https://www.pref.wakayama.lg.jp/prefg/000200/covid19.html" TargetMode="External"/><Relationship Id="rId721" Type="http://schemas.openxmlformats.org/officeDocument/2006/relationships/hyperlink" Target="http://www.pref.osaka.lg.jp/hodo/attach/hodo-37907_4.pdf" TargetMode="External"/><Relationship Id="rId963" Type="http://schemas.openxmlformats.org/officeDocument/2006/relationships/hyperlink" Target="https://www.pref.tokushima.lg.jp/file/attachment/552068.pdf" TargetMode="External"/><Relationship Id="rId720" Type="http://schemas.openxmlformats.org/officeDocument/2006/relationships/hyperlink" Target="http://www.pref.osaka.lg.jp/hodo/attach/hodo-37902_4.pdf" TargetMode="External"/><Relationship Id="rId962" Type="http://schemas.openxmlformats.org/officeDocument/2006/relationships/hyperlink" Target="https://www.pref.wakayama.lg.jp/prefg/041200/d00203387.html" TargetMode="External"/><Relationship Id="rId727" Type="http://schemas.openxmlformats.org/officeDocument/2006/relationships/hyperlink" Target="http://www.pref.osaka.lg.jp/hodo/attach/hodo-37907_4.pdf" TargetMode="External"/><Relationship Id="rId969" Type="http://schemas.openxmlformats.org/officeDocument/2006/relationships/hyperlink" Target="https://www.pref.wakayama.lg.jp/prefg/041200/d00203387.html" TargetMode="External"/><Relationship Id="rId726" Type="http://schemas.openxmlformats.org/officeDocument/2006/relationships/hyperlink" Target="http://www.pref.osaka.lg.jp/hodo/attach/hodo-37902_4.pdf" TargetMode="External"/><Relationship Id="rId968" Type="http://schemas.openxmlformats.org/officeDocument/2006/relationships/hyperlink" Target="https://www.pref.wakayama.lg.jp/prefg/041200/d00203387.html" TargetMode="External"/><Relationship Id="rId725" Type="http://schemas.openxmlformats.org/officeDocument/2006/relationships/hyperlink" Target="http://www.pref.osaka.lg.jp/hodo/attach/hodo-37902_4.pdf" TargetMode="External"/><Relationship Id="rId967" Type="http://schemas.openxmlformats.org/officeDocument/2006/relationships/hyperlink" Target="https://www.pref.wakayama.lg.jp/prefg/041200/d00203387.html" TargetMode="External"/><Relationship Id="rId724" Type="http://schemas.openxmlformats.org/officeDocument/2006/relationships/hyperlink" Target="http://www.pref.osaka.lg.jp/hodo/attach/hodo-37645_5.pdf" TargetMode="External"/><Relationship Id="rId966" Type="http://schemas.openxmlformats.org/officeDocument/2006/relationships/hyperlink" Target="https://www.pref.wakayama.lg.jp/prefg/041200/d00203387.html" TargetMode="External"/><Relationship Id="rId69" Type="http://schemas.openxmlformats.org/officeDocument/2006/relationships/hyperlink" Target="https://www.pref.ibaraki.jp/1saigai/2019-ncov/documents/20032801.pdf" TargetMode="External"/><Relationship Id="rId961" Type="http://schemas.openxmlformats.org/officeDocument/2006/relationships/hyperlink" Target="https://www.pref.wakayama.lg.jp/prefg/041200/d00203387.html" TargetMode="External"/><Relationship Id="rId960" Type="http://schemas.openxmlformats.org/officeDocument/2006/relationships/hyperlink" Target="https://www.pref.wakayama.lg.jp/prefg/041200/d00203387.html" TargetMode="External"/><Relationship Id="rId1310" Type="http://schemas.openxmlformats.org/officeDocument/2006/relationships/hyperlink" Target="https://www.netdenjd.com/articles/-/229714" TargetMode="External"/><Relationship Id="rId1311" Type="http://schemas.openxmlformats.org/officeDocument/2006/relationships/hyperlink" Target="https://www.nttdocomo.co.jp/info/news_release/detail/20200312_00_m.html" TargetMode="External"/><Relationship Id="rId51" Type="http://schemas.openxmlformats.org/officeDocument/2006/relationships/hyperlink" Target="https://www.pref.aomori.lg.jp/soshiki/kenko/hoken/files/200325press.pdf" TargetMode="External"/><Relationship Id="rId1301" Type="http://schemas.openxmlformats.org/officeDocument/2006/relationships/hyperlink" Target="https://www.pref.kanagawa.jp/documents/58277/200407_yokohama.pdf" TargetMode="External"/><Relationship Id="rId50" Type="http://schemas.openxmlformats.org/officeDocument/2006/relationships/hyperlink" Target="https://www.pref.aomori.lg.jp/soshiki/kenko/hoken/files/200325press.pdf" TargetMode="External"/><Relationship Id="rId1302" Type="http://schemas.openxmlformats.org/officeDocument/2006/relationships/hyperlink" Target="https://www.pref.ishikawa.lg.jp/kansen/coronakennai.html" TargetMode="External"/><Relationship Id="rId53" Type="http://schemas.openxmlformats.org/officeDocument/2006/relationships/hyperlink" Target="https://www.pref.aomori.lg.jp/soshiki/kenko/hoken/files/200403press.pdf" TargetMode="External"/><Relationship Id="rId1303" Type="http://schemas.openxmlformats.org/officeDocument/2006/relationships/hyperlink" Target="https://www.pref.ishikawa.lg.jp/kansen/coronakennai.html" TargetMode="External"/><Relationship Id="rId52" Type="http://schemas.openxmlformats.org/officeDocument/2006/relationships/hyperlink" Target="https://www.pref.aomori.lg.jp/soshiki/kenko/hoken/files/200325press.pdf" TargetMode="External"/><Relationship Id="rId1304" Type="http://schemas.openxmlformats.org/officeDocument/2006/relationships/hyperlink" Target="https://www.pref.ishikawa.lg.jp/kansen/coronakennai.html;http://www2.hokutetsu.co.jp/pdf/33772/33772.pdf" TargetMode="External"/><Relationship Id="rId55" Type="http://schemas.openxmlformats.org/officeDocument/2006/relationships/hyperlink" Target="https://www.city.sendai.jp/sesakukoho/gaiyo/shichoshitsu/kaiken/2020/04/03corona2.html" TargetMode="External"/><Relationship Id="rId1305" Type="http://schemas.openxmlformats.org/officeDocument/2006/relationships/hyperlink" Target="https://www.pref.ishikawa.lg.jp/kansen/coronakennai.html;http://www2.hokutetsu.co.jp/pdf/33772/33772.pdf" TargetMode="External"/><Relationship Id="rId54" Type="http://schemas.openxmlformats.org/officeDocument/2006/relationships/hyperlink" Target="http://www.city.sendai.jp/sesakukoho/gaiyo/shichoshitsu/kaiken/2020/04/01corona2.html" TargetMode="External"/><Relationship Id="rId1306" Type="http://schemas.openxmlformats.org/officeDocument/2006/relationships/hyperlink" Target="https://www.tokai-tv.com/newsone/covid-19/newsList.php" TargetMode="External"/><Relationship Id="rId57" Type="http://schemas.openxmlformats.org/officeDocument/2006/relationships/hyperlink" Target="https://www.pref.yamagata.jp/ou/bosai/020072/kochibou/coronavirus/pdf/11-13reime.pdf" TargetMode="External"/><Relationship Id="rId1307" Type="http://schemas.openxmlformats.org/officeDocument/2006/relationships/hyperlink" Target="https://www.tokai-tv.com/newsone/covid-19/newsList.php" TargetMode="External"/><Relationship Id="rId56" Type="http://schemas.openxmlformats.org/officeDocument/2006/relationships/hyperlink" Target="http://www.city.sendai.jp/kenkoanzen-kansen/shise/koho/kisha/r2/0330corona.html" TargetMode="External"/><Relationship Id="rId1308" Type="http://schemas.openxmlformats.org/officeDocument/2006/relationships/hyperlink" Target="https://www.tokai-tv.com/newsone/covid-19/newsList.php" TargetMode="External"/><Relationship Id="rId1309" Type="http://schemas.openxmlformats.org/officeDocument/2006/relationships/hyperlink" Target="https://www.metro.tokyo.lg.jp/tosei/hodohappyo/press/2020/03/10/11.html" TargetMode="External"/><Relationship Id="rId719" Type="http://schemas.openxmlformats.org/officeDocument/2006/relationships/hyperlink" Target="http://www.pref.osaka.lg.jp/hodo/attach/hodo-37955_4.pdf" TargetMode="External"/><Relationship Id="rId718" Type="http://schemas.openxmlformats.org/officeDocument/2006/relationships/hyperlink" Target="http://www.pref.osaka.lg.jp/hodo/attach/hodo-37932_4.pdf" TargetMode="External"/><Relationship Id="rId717" Type="http://schemas.openxmlformats.org/officeDocument/2006/relationships/hyperlink" Target="http://www.pref.osaka.lg.jp/hodo/attach/hodo-37902_4.pdf" TargetMode="External"/><Relationship Id="rId959" Type="http://schemas.openxmlformats.org/officeDocument/2006/relationships/hyperlink" Target="http://www.pref.nara.jp/secure/224459/0309korona.pdf" TargetMode="External"/><Relationship Id="rId712" Type="http://schemas.openxmlformats.org/officeDocument/2006/relationships/hyperlink" Target="http://www.pref.osaka.lg.jp/hodo/attach/hodo-37902_4.pdf" TargetMode="External"/><Relationship Id="rId954" Type="http://schemas.openxmlformats.org/officeDocument/2006/relationships/hyperlink" Target="https://web.pref.hyogo.lg.jp/kk03/corona_hasseijyokyo.html" TargetMode="External"/><Relationship Id="rId711" Type="http://schemas.openxmlformats.org/officeDocument/2006/relationships/hyperlink" Target="http://www.pref.osaka.lg.jp/hodo/attach/hodo-37645_5.pdf" TargetMode="External"/><Relationship Id="rId953" Type="http://schemas.openxmlformats.org/officeDocument/2006/relationships/hyperlink" Target="https://web.pref.hyogo.lg.jp/kk03/corona_hasseijyokyo.html;https://web.pref.hyogo.lg.jp/kk03/corona_kanjyajyokyo.html" TargetMode="External"/><Relationship Id="rId710" Type="http://schemas.openxmlformats.org/officeDocument/2006/relationships/hyperlink" Target="http://www.pref.osaka.lg.jp/hodo/attach/hodo-37902_4.pdf" TargetMode="External"/><Relationship Id="rId952" Type="http://schemas.openxmlformats.org/officeDocument/2006/relationships/hyperlink" Target="https://web.pref.hyogo.lg.jp/kk03/corona_hasseijyokyo.html" TargetMode="External"/><Relationship Id="rId951" Type="http://schemas.openxmlformats.org/officeDocument/2006/relationships/hyperlink" Target="https://web.pref.hyogo.lg.jp/kk03/corona_hasseijyokyo.html" TargetMode="External"/><Relationship Id="rId716" Type="http://schemas.openxmlformats.org/officeDocument/2006/relationships/hyperlink" Target="http://www.pref.osaka.lg.jp/hodo/attach/hodo-37645_5.pdf" TargetMode="External"/><Relationship Id="rId958" Type="http://schemas.openxmlformats.org/officeDocument/2006/relationships/hyperlink" Target="https://web.pref.hyogo.lg.jp/kk03/corona_hasseijyokyo53-100.html;https://web.pref.hyogo.lg.jp/kk03/corona_kanjyajyokyo.html" TargetMode="External"/><Relationship Id="rId715" Type="http://schemas.openxmlformats.org/officeDocument/2006/relationships/hyperlink" Target="http://www.pref.osaka.lg.jp/hodo/attach/hodo-37932_4.pdf" TargetMode="External"/><Relationship Id="rId957" Type="http://schemas.openxmlformats.org/officeDocument/2006/relationships/hyperlink" Target="https://web.pref.hyogo.lg.jp/kk03/corona_hasseijyokyo.html" TargetMode="External"/><Relationship Id="rId714" Type="http://schemas.openxmlformats.org/officeDocument/2006/relationships/hyperlink" Target="http://www.pref.osaka.lg.jp/hodo/attach/hodo-37907_4.pdf" TargetMode="External"/><Relationship Id="rId956" Type="http://schemas.openxmlformats.org/officeDocument/2006/relationships/hyperlink" Target="https://web.pref.hyogo.lg.jp/kk03/corona_hasseijyokyo.html" TargetMode="External"/><Relationship Id="rId713" Type="http://schemas.openxmlformats.org/officeDocument/2006/relationships/hyperlink" Target="http://www.pref.osaka.lg.jp/hodo/attach/hodo-37902_4.pdf" TargetMode="External"/><Relationship Id="rId955" Type="http://schemas.openxmlformats.org/officeDocument/2006/relationships/hyperlink" Target="https://web.pref.hyogo.lg.jp/kk03/corona_hasseijyokyo.html;https://www.takarazuka-daiichi-hp.or.jp/datet/patient/20200328.html" TargetMode="External"/><Relationship Id="rId59" Type="http://schemas.openxmlformats.org/officeDocument/2006/relationships/hyperlink" Target="http://www.city.sendai.jp/sesakukoho/gaiyo/shichoshitsu/kaiken/2020/04/01corona2.html" TargetMode="External"/><Relationship Id="rId58" Type="http://schemas.openxmlformats.org/officeDocument/2006/relationships/hyperlink" Target="http://www.city.sendai.jp/sesakukoho/gaiyo/shichoshitsu/kaiken/2020/04/01corona2.html" TargetMode="External"/><Relationship Id="rId950" Type="http://schemas.openxmlformats.org/officeDocument/2006/relationships/hyperlink" Target="https://web.pref.hyogo.lg.jp/kk03/documents/0318corona_kanjya.pdf;https://www.city.kobe.lg.jp/a57337/kenko/health/corona_tsushokaigo2.html" TargetMode="External"/><Relationship Id="rId1300" Type="http://schemas.openxmlformats.org/officeDocument/2006/relationships/hyperlink" Target="https://www.pref.kanagawa.jp/documents/58277/200407_yokohama.pdf" TargetMode="External"/><Relationship Id="rId590" Type="http://schemas.openxmlformats.org/officeDocument/2006/relationships/hyperlink" Target="http://www.pref.osaka.lg.jp/hodo/attach/hodo-37808_4.pdf" TargetMode="External"/><Relationship Id="rId107" Type="http://schemas.openxmlformats.org/officeDocument/2006/relationships/hyperlink" Target="https://www.pref.saitama.lg.jp/a0701/covid19/jokyo.html" TargetMode="External"/><Relationship Id="rId349" Type="http://schemas.openxmlformats.org/officeDocument/2006/relationships/hyperlink" Target="https://www.pref.kanagawa.jp/documents/58277/200402_kawasaki_1.pdf" TargetMode="External"/><Relationship Id="rId106" Type="http://schemas.openxmlformats.org/officeDocument/2006/relationships/hyperlink" Target="https://www.pref.gunma.jp/07/z87g_00032.html" TargetMode="External"/><Relationship Id="rId348" Type="http://schemas.openxmlformats.org/officeDocument/2006/relationships/hyperlink" Target="https://www.pref.kanagawa.jp/documents/58277/200402_kawasaki_1.pdf" TargetMode="External"/><Relationship Id="rId105" Type="http://schemas.openxmlformats.org/officeDocument/2006/relationships/hyperlink" Target="https://www.pref.gunma.jp/07/z87g_00029.html" TargetMode="External"/><Relationship Id="rId347" Type="http://schemas.openxmlformats.org/officeDocument/2006/relationships/hyperlink" Target="https://www.pref.kanagawa.jp/documents/58277/200402_kawasaki_1.pdf" TargetMode="External"/><Relationship Id="rId589" Type="http://schemas.openxmlformats.org/officeDocument/2006/relationships/hyperlink" Target="http://www.pref.osaka.lg.jp/hodo/attach/hodo-37694_4.pdf" TargetMode="External"/><Relationship Id="rId104" Type="http://schemas.openxmlformats.org/officeDocument/2006/relationships/hyperlink" Target="https://www.pref.gunma.jp/07/z87g_00027.html;https://www.jomo-news.co.jp/news/gunma/society/202295" TargetMode="External"/><Relationship Id="rId346" Type="http://schemas.openxmlformats.org/officeDocument/2006/relationships/hyperlink" Target="https://www.pref.kanagawa.jp/documents/58277/20200402_kanagawa.pdf" TargetMode="External"/><Relationship Id="rId588" Type="http://schemas.openxmlformats.org/officeDocument/2006/relationships/hyperlink" Target="http://www.pref.osaka.lg.jp/hodo/attach/hodo-37656_5.pdf" TargetMode="External"/><Relationship Id="rId109" Type="http://schemas.openxmlformats.org/officeDocument/2006/relationships/hyperlink" Target="https://www.city.saitama.jp/002/001/008/006/001/p070442.html" TargetMode="External"/><Relationship Id="rId1170" Type="http://schemas.openxmlformats.org/officeDocument/2006/relationships/hyperlink" Target="https://www.pref.yamagata.jp/ou/bosai/020072/kochibou/coronavirus/pdf/14-19reime.pdf" TargetMode="External"/><Relationship Id="rId108" Type="http://schemas.openxmlformats.org/officeDocument/2006/relationships/hyperlink" Target="https://www.pref.saitama.lg.jp/a0001/news/page/2019/0312-06.html" TargetMode="External"/><Relationship Id="rId1171" Type="http://schemas.openxmlformats.org/officeDocument/2006/relationships/hyperlink" Target="https://www.pref.yamagata.jp/ou/bosai/020072/kochibou/coronavirus/pdf/14-19reime.pdf" TargetMode="External"/><Relationship Id="rId341" Type="http://schemas.openxmlformats.org/officeDocument/2006/relationships/hyperlink" Target="https://www.pref.kanagawa.jp/documents/58277/20200401_kanagawa_1.pdf" TargetMode="External"/><Relationship Id="rId583" Type="http://schemas.openxmlformats.org/officeDocument/2006/relationships/hyperlink" Target="http://www.pref.osaka.lg.jp/hodo/attach/hodo-37808_4.pdf" TargetMode="External"/><Relationship Id="rId1172" Type="http://schemas.openxmlformats.org/officeDocument/2006/relationships/hyperlink" Target="https://www.pref.yamagata.jp/ou/bosai/020072/kochibou/coronavirus/pdf/14-19reime.pdf" TargetMode="External"/><Relationship Id="rId340" Type="http://schemas.openxmlformats.org/officeDocument/2006/relationships/hyperlink" Target="https://www.pref.kanagawa.jp/documents/58277/20200401_kanagawa_1.pdf" TargetMode="External"/><Relationship Id="rId582" Type="http://schemas.openxmlformats.org/officeDocument/2006/relationships/hyperlink" Target="http://www.pref.osaka.lg.jp/hodo/attach/hodo-37808_4.pdf" TargetMode="External"/><Relationship Id="rId1173" Type="http://schemas.openxmlformats.org/officeDocument/2006/relationships/hyperlink" Target="https://www.pref.yamagata.jp/ou/bosai/020072/kochibou/coronavirus/pdf/23-27reime.pdf" TargetMode="External"/><Relationship Id="rId581" Type="http://schemas.openxmlformats.org/officeDocument/2006/relationships/hyperlink" Target="http://www.pref.osaka.lg.jp/hodo/attach/hodo-37808_4.pdf" TargetMode="External"/><Relationship Id="rId1174" Type="http://schemas.openxmlformats.org/officeDocument/2006/relationships/hyperlink" Target="https://www.pref.yamagata.jp/ou/bosai/020072/kochibou/coronavirus/pdf/23-27reime.pdf" TargetMode="External"/><Relationship Id="rId580" Type="http://schemas.openxmlformats.org/officeDocument/2006/relationships/hyperlink" Target="http://www.pref.osaka.lg.jp/hodo/attach/hodo-37747_4.pdf" TargetMode="External"/><Relationship Id="rId1175" Type="http://schemas.openxmlformats.org/officeDocument/2006/relationships/hyperlink" Target="https://www.pref.yamagata.jp/ou/bosai/020072/kochibou/coronavirus/pdf/23-27reime.pdf" TargetMode="External"/><Relationship Id="rId103" Type="http://schemas.openxmlformats.org/officeDocument/2006/relationships/hyperlink" Target="https://www.pref.gunma.jp/contents/100149662.pdf" TargetMode="External"/><Relationship Id="rId345" Type="http://schemas.openxmlformats.org/officeDocument/2006/relationships/hyperlink" Target="https://www.pref.kanagawa.jp/documents/58277/200401_kawasaki.pdf;" TargetMode="External"/><Relationship Id="rId587" Type="http://schemas.openxmlformats.org/officeDocument/2006/relationships/hyperlink" Target="http://www.pref.osaka.lg.jp/hodo/attach/hodo-37656_5.pdf" TargetMode="External"/><Relationship Id="rId1176" Type="http://schemas.openxmlformats.org/officeDocument/2006/relationships/hyperlink" Target="https://www.pref.yamagata.jp/ou/bosai/020072/kochibou/coronavirus/pdf/23-27reime.pdf" TargetMode="External"/><Relationship Id="rId102" Type="http://schemas.openxmlformats.org/officeDocument/2006/relationships/hyperlink" Target="https://www.pref.gunma.jp/contents/100149662.pdf" TargetMode="External"/><Relationship Id="rId344" Type="http://schemas.openxmlformats.org/officeDocument/2006/relationships/hyperlink" Target="https://www.pref.kanagawa.jp/documents/58277/200401_kawasaki.pdf;" TargetMode="External"/><Relationship Id="rId586" Type="http://schemas.openxmlformats.org/officeDocument/2006/relationships/hyperlink" Target="http://www.pref.osaka.lg.jp/hodo/attach/hodo-37758_4.pdf" TargetMode="External"/><Relationship Id="rId1177" Type="http://schemas.openxmlformats.org/officeDocument/2006/relationships/hyperlink" Target="https://www.pref.yamagata.jp/ou/bosai/020072/kochibou/coronavirus/pdf/20-22reime.pdf" TargetMode="External"/><Relationship Id="rId101" Type="http://schemas.openxmlformats.org/officeDocument/2006/relationships/hyperlink" Target="https://www.pref.gunma.jp/contents/100149662.pdf" TargetMode="External"/><Relationship Id="rId343" Type="http://schemas.openxmlformats.org/officeDocument/2006/relationships/hyperlink" Target="https://www.pref.kanagawa.jp/documents/58277/200401_kawasaki.pdf;" TargetMode="External"/><Relationship Id="rId585" Type="http://schemas.openxmlformats.org/officeDocument/2006/relationships/hyperlink" Target="http://www.pref.osaka.lg.jp/hodo/attach/hodo-37633_5.pdf" TargetMode="External"/><Relationship Id="rId1178" Type="http://schemas.openxmlformats.org/officeDocument/2006/relationships/hyperlink" Target="https://www.pref.yamagata.jp/ou/bosai/020072/kochibou/coronavirus/pdf/20-22reime.pdf" TargetMode="External"/><Relationship Id="rId100" Type="http://schemas.openxmlformats.org/officeDocument/2006/relationships/hyperlink" Target="https://www.pref.gunma.jp/contents/100149662.pdf" TargetMode="External"/><Relationship Id="rId342" Type="http://schemas.openxmlformats.org/officeDocument/2006/relationships/hyperlink" Target="https://www.pref.kanagawa.jp/documents/58277/20200401_kanagawa_1.pdf" TargetMode="External"/><Relationship Id="rId584" Type="http://schemas.openxmlformats.org/officeDocument/2006/relationships/hyperlink" Target="http://www.pref.osaka.lg.jp/hodo/attach/hodo-37808_4.pdf" TargetMode="External"/><Relationship Id="rId1179" Type="http://schemas.openxmlformats.org/officeDocument/2006/relationships/hyperlink" Target="https://www.pref.shiga.lg.jp/kensei/koho/e-shinbun/oshirase/311167.html;http://www.kuronekoyamato.co.jp/ytc/info/info_200405.html" TargetMode="External"/><Relationship Id="rId1169" Type="http://schemas.openxmlformats.org/officeDocument/2006/relationships/hyperlink" Target="https://www.pref.yamagata.jp/ou/bosai/020072/kochibou/coronavirus/pdf/14-19reime.pdf" TargetMode="External"/><Relationship Id="rId338" Type="http://schemas.openxmlformats.org/officeDocument/2006/relationships/hyperlink" Target="https://www.city.yokosuka.kanagawa.jp/3130/nagekomi/20200329.html" TargetMode="External"/><Relationship Id="rId337" Type="http://schemas.openxmlformats.org/officeDocument/2006/relationships/hyperlink" Target="https://www.pref.kanagawa.jp/documents/58277/20200331_kanagawa.pdf" TargetMode="External"/><Relationship Id="rId579" Type="http://schemas.openxmlformats.org/officeDocument/2006/relationships/hyperlink" Target="http://www.pref.osaka.lg.jp/hodo/index.php?site=fumin&amp;pageId=37147" TargetMode="External"/><Relationship Id="rId336" Type="http://schemas.openxmlformats.org/officeDocument/2006/relationships/hyperlink" Target="https://www.pref.kanagawa.jp/documents/58277/20200327_kawasaki_corona.pdf" TargetMode="External"/><Relationship Id="rId578" Type="http://schemas.openxmlformats.org/officeDocument/2006/relationships/hyperlink" Target="http://www.pref.osaka.lg.jp/hodo/attach/hodo-37932_4.pdf" TargetMode="External"/><Relationship Id="rId335" Type="http://schemas.openxmlformats.org/officeDocument/2006/relationships/hyperlink" Target="https://www.pref.kanagawa.jp/documents/58277/200401_kawasaki.pdf;" TargetMode="External"/><Relationship Id="rId577" Type="http://schemas.openxmlformats.org/officeDocument/2006/relationships/hyperlink" Target="https://www.pref.kyoto.jp/kentai/news/documents/20200309-91011.pdf" TargetMode="External"/><Relationship Id="rId339" Type="http://schemas.openxmlformats.org/officeDocument/2006/relationships/hyperlink" Target="https://www.pref.kanagawa.jp/documents/58277/20200401_kanagawa_1.pdf" TargetMode="External"/><Relationship Id="rId1160" Type="http://schemas.openxmlformats.org/officeDocument/2006/relationships/hyperlink" Target="https://www.pref.yamagata.jp/ou/bosai/020072/kochibou/coronavirus/pdf/4-8reime.pdf" TargetMode="External"/><Relationship Id="rId330" Type="http://schemas.openxmlformats.org/officeDocument/2006/relationships/hyperlink" Target="https://www.pref.kanagawa.jp/documents/58277/20200329_yokohama_corona.pdf" TargetMode="External"/><Relationship Id="rId572" Type="http://schemas.openxmlformats.org/officeDocument/2006/relationships/hyperlink" Target="https://www.google.com/maps/place/%E4%BA%AC%E9%83%BD%E5%BA%9C%E4%B9%99%E8%A8%93%E4%BF%9D%E5%81%A5%E6%89%80/@34.9401324,135.6969653,17z/data=!3m1!4b1!4m5!3m4!1s0x6001043c10a59c71:0x9d05c3c807262cc8!8m2!3d34.940128!4d135.699154?hl=ja" TargetMode="External"/><Relationship Id="rId1161" Type="http://schemas.openxmlformats.org/officeDocument/2006/relationships/hyperlink" Target="https://www.pref.yamagata.jp/ou/bosai/020072/kochibou/coronavirus/pdf/4-8reime.pdf" TargetMode="External"/><Relationship Id="rId571" Type="http://schemas.openxmlformats.org/officeDocument/2006/relationships/hyperlink" Target="https://www.city.kyoto.lg.jp/hokenfukushi/cmsfiles/contents/0000267/267699/200330oshirase(33-34).pdf" TargetMode="External"/><Relationship Id="rId1162" Type="http://schemas.openxmlformats.org/officeDocument/2006/relationships/hyperlink" Target="https://www.pref.yamagata.jp/ou/bosai/020072/kochibou/coronavirus/pdf/4-8reime.pdf" TargetMode="External"/><Relationship Id="rId570" Type="http://schemas.openxmlformats.org/officeDocument/2006/relationships/hyperlink" Target="https://www.city.kyoto.lg.jp/hokenfukushi/cmsfiles/contents/0000267/267699/200330oshirase(33-34).pdf" TargetMode="External"/><Relationship Id="rId1163" Type="http://schemas.openxmlformats.org/officeDocument/2006/relationships/hyperlink" Target="https://www.pref.yamagata.jp/ou/bosai/020072/kochibou/coronavirus/pdf/9-10reime.pdf" TargetMode="External"/><Relationship Id="rId1164" Type="http://schemas.openxmlformats.org/officeDocument/2006/relationships/hyperlink" Target="https://www.pref.yamagata.jp/ou/bosai/020072/kochibou/coronavirus/pdf/4-8reime.pdf" TargetMode="External"/><Relationship Id="rId334" Type="http://schemas.openxmlformats.org/officeDocument/2006/relationships/hyperlink" Target="https://www.pref.kanagawa.jp/documents/58277/200401_kawasaki.pdf;" TargetMode="External"/><Relationship Id="rId576" Type="http://schemas.openxmlformats.org/officeDocument/2006/relationships/hyperlink" Target="https://www.pref.kyoto.jp/kentai/news/documents/20200310-13.pdf" TargetMode="External"/><Relationship Id="rId1165" Type="http://schemas.openxmlformats.org/officeDocument/2006/relationships/hyperlink" Target="https://www.pref.yamagata.jp/ou/bosai/020072/kochibou/coronavirus/pdf/4-8reime.pdf" TargetMode="External"/><Relationship Id="rId333" Type="http://schemas.openxmlformats.org/officeDocument/2006/relationships/hyperlink" Target="https://www.city.kawaguchi.lg.jp/material/files/group/86/20200329korona.pdf" TargetMode="External"/><Relationship Id="rId575" Type="http://schemas.openxmlformats.org/officeDocument/2006/relationships/hyperlink" Target="http://www.pref.kyoto.jp/kentai/corona/hassei1-50.html" TargetMode="External"/><Relationship Id="rId1166" Type="http://schemas.openxmlformats.org/officeDocument/2006/relationships/hyperlink" Target="https://www.pref.yamagata.jp/ou/bosai/020072/kochibou/coronavirus/pdf/11-13reime.pdf" TargetMode="External"/><Relationship Id="rId332" Type="http://schemas.openxmlformats.org/officeDocument/2006/relationships/hyperlink" Target="https://www.pref.kanagawa.jp/documents/58277/20200327_yokohama_corona.pdf" TargetMode="External"/><Relationship Id="rId574" Type="http://schemas.openxmlformats.org/officeDocument/2006/relationships/hyperlink" Target="https://www.pref.kyoto.jp/kentai/news/documents/20200309-91011.pdf" TargetMode="External"/><Relationship Id="rId1167" Type="http://schemas.openxmlformats.org/officeDocument/2006/relationships/hyperlink" Target="https://www.pref.yamagata.jp/ou/bosai/020072/kochibou/coronavirus/pdf/11-13reime.pdf" TargetMode="External"/><Relationship Id="rId331" Type="http://schemas.openxmlformats.org/officeDocument/2006/relationships/hyperlink" Target="https://www.pref.kanagawa.jp/documents/58277/20200401_kanagawa_1.pdf" TargetMode="External"/><Relationship Id="rId573" Type="http://schemas.openxmlformats.org/officeDocument/2006/relationships/hyperlink" Target="https://www.pref.kyoto.jp/kentai/news/novelcoronavirus.html" TargetMode="External"/><Relationship Id="rId1168" Type="http://schemas.openxmlformats.org/officeDocument/2006/relationships/hyperlink" Target="https://www.pref.yamagata.jp/ou/bosai/020072/kochibou/coronavirus/pdf/14-19reime.pdf" TargetMode="External"/><Relationship Id="rId370" Type="http://schemas.openxmlformats.org/officeDocument/2006/relationships/hyperlink" Target="https://www.city.toyama.toyama.jp/data/open/cnt/3/21213/1/R2.4.1shingatakorona2-3.pdf?20200404201156" TargetMode="External"/><Relationship Id="rId129" Type="http://schemas.openxmlformats.org/officeDocument/2006/relationships/hyperlink" Target="http://www.pref.hokkaido.lg.jp/hf/kth/kak/kisyakaiken0312sapporo.pdf" TargetMode="External"/><Relationship Id="rId128" Type="http://schemas.openxmlformats.org/officeDocument/2006/relationships/hyperlink" Target="http://www.pref.hokkaido.lg.jp/hf/kth/kak/kisyakaiken0309.pdf" TargetMode="External"/><Relationship Id="rId127" Type="http://schemas.openxmlformats.org/officeDocument/2006/relationships/hyperlink" Target="https://www.pref.chiba.lg.jp/shippei/press/2019/ncov20200314.html" TargetMode="External"/><Relationship Id="rId369" Type="http://schemas.openxmlformats.org/officeDocument/2006/relationships/hyperlink" Target="https://www.city.toyama.toyama.jp/data/open/cnt/3/21213/1/R2.4.1shingatakorona2-3.pdf?20200403193512" TargetMode="External"/><Relationship Id="rId126" Type="http://schemas.openxmlformats.org/officeDocument/2006/relationships/hyperlink" Target="https://www.pref.chiba.lg.jp/shippei/press/2019/ncov20200314.html" TargetMode="External"/><Relationship Id="rId368" Type="http://schemas.openxmlformats.org/officeDocument/2006/relationships/hyperlink" Target="http://www.pref.toyama.jp/cms_pfile/00021798/01377695.pdf" TargetMode="External"/><Relationship Id="rId1190" Type="http://schemas.openxmlformats.org/officeDocument/2006/relationships/hyperlink" Target="https://www.pref.fukui.lg.jp/doc/kenkou/kansensyo-yobousessyu/corona_d/fil/200326-2.pdf" TargetMode="External"/><Relationship Id="rId1191" Type="http://schemas.openxmlformats.org/officeDocument/2006/relationships/hyperlink" Target="https://www.chunichi.co.jp/article/fukui/20200407/CK2020040702000043.html" TargetMode="External"/><Relationship Id="rId1192" Type="http://schemas.openxmlformats.org/officeDocument/2006/relationships/hyperlink" Target="https://www.pref.fukui.lg.jp/doc/kenkou/kansensyo-yobousessyu/corona_d/fil/200402-1.pdf" TargetMode="External"/><Relationship Id="rId1193" Type="http://schemas.openxmlformats.org/officeDocument/2006/relationships/hyperlink" Target="https://www.pref.fukui.lg.jp/doc/kenkou/kansensyo-yobousessyu/corona_d/fil/200331-1.pdf;https://www.chunichi.co.jp/article/fukui/20200407/CK2020040702000043.html" TargetMode="External"/><Relationship Id="rId121" Type="http://schemas.openxmlformats.org/officeDocument/2006/relationships/hyperlink" Target="https://www.pref.chiba.lg.jp/shippei/press/2019/ncov20200307.html" TargetMode="External"/><Relationship Id="rId363" Type="http://schemas.openxmlformats.org/officeDocument/2006/relationships/hyperlink" Target="https://www.city.niigata.lg.jp/iryo/kenko/yobou_kansen/kansen/2020coronavirus.files/press3.9_2.pdf;https://www.fukuishimbun.co.jp/articles/-/1044861" TargetMode="External"/><Relationship Id="rId1194" Type="http://schemas.openxmlformats.org/officeDocument/2006/relationships/hyperlink" Target="https://www.pref.fukui.lg.jp/doc/kenkou/kansensyo-yobousessyu/corona_d/fil/200402-1.pdf" TargetMode="External"/><Relationship Id="rId120" Type="http://schemas.openxmlformats.org/officeDocument/2006/relationships/hyperlink" Target="https://www.pref.chiba.lg.jp/shippei/press/2019/ncov20200307.html" TargetMode="External"/><Relationship Id="rId362" Type="http://schemas.openxmlformats.org/officeDocument/2006/relationships/hyperlink" Target="https://www.city.niigata.lg.jp/iryo/kenko/yobou_kansen/kansen/2020coronavirus.files/0319houdou.pdf;https://news.livedoor.com/article/detail/17990213/" TargetMode="External"/><Relationship Id="rId1195" Type="http://schemas.openxmlformats.org/officeDocument/2006/relationships/hyperlink" Target="https://www.pref.fukui.lg.jp/doc/kenkou/kansensyo-yobousessyu/corona_d/fil/200403.pdf" TargetMode="External"/><Relationship Id="rId361" Type="http://schemas.openxmlformats.org/officeDocument/2006/relationships/hyperlink" Target="https://www.pref.kanagawa.jp/documents/58277/20200327_kawasaki_corona.pdf" TargetMode="External"/><Relationship Id="rId1196" Type="http://schemas.openxmlformats.org/officeDocument/2006/relationships/hyperlink" Target="https://www.chunichi.co.jp/article/fukui/20200407/CK2020040702000043.html" TargetMode="External"/><Relationship Id="rId360" Type="http://schemas.openxmlformats.org/officeDocument/2006/relationships/hyperlink" Target="https://www.pref.kanagawa.jp/docs/ga4/bukanshi/occurrence.html" TargetMode="External"/><Relationship Id="rId1197" Type="http://schemas.openxmlformats.org/officeDocument/2006/relationships/hyperlink" Target="https://www.chunichi.co.jp/article/fukui/20200407/CK2020040702000043.html" TargetMode="External"/><Relationship Id="rId125" Type="http://schemas.openxmlformats.org/officeDocument/2006/relationships/hyperlink" Target="https://www.pref.chiba.lg.jp/shippei/press/2019/ncov20200314.html" TargetMode="External"/><Relationship Id="rId367" Type="http://schemas.openxmlformats.org/officeDocument/2006/relationships/hyperlink" Target="https://www.city.niigata.lg.jp/iryo/kenko/yobou_kansen/kansen/coronavirus.files/press0319.pdf;https://news.livedoor.com/article/detail/17990213/" TargetMode="External"/><Relationship Id="rId1198" Type="http://schemas.openxmlformats.org/officeDocument/2006/relationships/hyperlink" Target="https://www.chunichi.co.jp/article/fukui/20200407/CK2020040702000043.html" TargetMode="External"/><Relationship Id="rId124" Type="http://schemas.openxmlformats.org/officeDocument/2006/relationships/hyperlink" Target="https://www.pref.chiba.lg.jp/shippei/press/2019/ncov20200314.html" TargetMode="External"/><Relationship Id="rId366" Type="http://schemas.openxmlformats.org/officeDocument/2006/relationships/hyperlink" Target="https://www.city.niigata.lg.jp/iryo/kenko/yobou_kansen/kansen/2020coronavirus.files/press0317.pdf" TargetMode="External"/><Relationship Id="rId1199" Type="http://schemas.openxmlformats.org/officeDocument/2006/relationships/hyperlink" Target="https://www.pref.fukui.lg.jp/doc/kenkou/kansensyo-yobousessyu/corona_d/fil/200330-1.pdf" TargetMode="External"/><Relationship Id="rId123" Type="http://schemas.openxmlformats.org/officeDocument/2006/relationships/hyperlink" Target="https://www.pref.chiba.lg.jp/shippei/press/2019/ncov20200313.html" TargetMode="External"/><Relationship Id="rId365" Type="http://schemas.openxmlformats.org/officeDocument/2006/relationships/hyperlink" Target="https://www.city.niigata.lg.jp/iryo/kenko/yobou_kansen/kansen/2020coronavirus.files/press0317.pdf" TargetMode="External"/><Relationship Id="rId122" Type="http://schemas.openxmlformats.org/officeDocument/2006/relationships/hyperlink" Target="https://www.pref.chiba.lg.jp/shippei/press/2019/ncov-index.html" TargetMode="External"/><Relationship Id="rId364" Type="http://schemas.openxmlformats.org/officeDocument/2006/relationships/hyperlink" Target="https://www.city.niigata.lg.jp/iryo/kenko/yobou_kansen/kansen/2020coronavirus.files/press3.9_2.pdf;https://www.fukuishimbun.co.jp/articles/-/1044861" TargetMode="External"/><Relationship Id="rId95" Type="http://schemas.openxmlformats.org/officeDocument/2006/relationships/hyperlink" Target="https://www.pref.gunma.jp/contents/100149662.pdf" TargetMode="External"/><Relationship Id="rId94" Type="http://schemas.openxmlformats.org/officeDocument/2006/relationships/hyperlink" Target="https://www.pref.ehime.jp/h25500/kansen/documents/0331press.pdf" TargetMode="External"/><Relationship Id="rId97" Type="http://schemas.openxmlformats.org/officeDocument/2006/relationships/hyperlink" Target="https://www.pref.gunma.jp/contents/100149662.pdf" TargetMode="External"/><Relationship Id="rId96" Type="http://schemas.openxmlformats.org/officeDocument/2006/relationships/hyperlink" Target="https://www.pref.gunma.jp/contents/100149662.pdf" TargetMode="External"/><Relationship Id="rId99" Type="http://schemas.openxmlformats.org/officeDocument/2006/relationships/hyperlink" Target="https://www.pref.gunma.jp/contents/100149662.pdf" TargetMode="External"/><Relationship Id="rId98" Type="http://schemas.openxmlformats.org/officeDocument/2006/relationships/hyperlink" Target="https://www.pref.gunma.jp/contents/100149662.pdf" TargetMode="External"/><Relationship Id="rId91" Type="http://schemas.openxmlformats.org/officeDocument/2006/relationships/hyperlink" Target="https://www.pref.ehime.jp/h25500/kansen/documents/0331press.pdf" TargetMode="External"/><Relationship Id="rId90" Type="http://schemas.openxmlformats.org/officeDocument/2006/relationships/hyperlink" Target="http://www.pref.tochigi.lg.jp/e04/welfare/hoken-eisei/kansen/hp/documents/10reime.pdf" TargetMode="External"/><Relationship Id="rId93" Type="http://schemas.openxmlformats.org/officeDocument/2006/relationships/hyperlink" Target="https://www.pref.ehime.jp/h25500/kansen/documents/0331press.pdf" TargetMode="External"/><Relationship Id="rId92" Type="http://schemas.openxmlformats.org/officeDocument/2006/relationships/hyperlink" Target="https://www.pref.ehime.jp/h25500/kansen/documents/0331press.pdf" TargetMode="External"/><Relationship Id="rId118" Type="http://schemas.openxmlformats.org/officeDocument/2006/relationships/hyperlink" Target="https://www.pref.chiba.lg.jp/shippei/press/2019/ncov20200310.html" TargetMode="External"/><Relationship Id="rId117" Type="http://schemas.openxmlformats.org/officeDocument/2006/relationships/hyperlink" Target="https://www.pref.chiba.lg.jp/shippei/press/2019/ncov20200301.html" TargetMode="External"/><Relationship Id="rId359" Type="http://schemas.openxmlformats.org/officeDocument/2006/relationships/hyperlink" Target="https://www.pref.kanagawa.jp/documents/58277/20200327_kawasaki_corona.pdf" TargetMode="External"/><Relationship Id="rId116" Type="http://schemas.openxmlformats.org/officeDocument/2006/relationships/hyperlink" Target="https://www.city.funabashi.lg.jp/kenkou/kansenshou/001/p076945.html" TargetMode="External"/><Relationship Id="rId358" Type="http://schemas.openxmlformats.org/officeDocument/2006/relationships/hyperlink" Target="https://www.pref.kanagawa.jp/documents/58277/20200325_kawasaki_corona.pdf" TargetMode="External"/><Relationship Id="rId115" Type="http://schemas.openxmlformats.org/officeDocument/2006/relationships/hyperlink" Target="https://www.city.saitama.jp/002/001/008/006/001/p070442.html" TargetMode="External"/><Relationship Id="rId357" Type="http://schemas.openxmlformats.org/officeDocument/2006/relationships/hyperlink" Target="https://www.pref.kanagawa.jp/docs/ga4/bukanshi/occurrence.html" TargetMode="External"/><Relationship Id="rId599" Type="http://schemas.openxmlformats.org/officeDocument/2006/relationships/hyperlink" Target="http://www.pref.osaka.lg.jp/hodo/attach/hodo-37680_5.pdf" TargetMode="External"/><Relationship Id="rId1180" Type="http://schemas.openxmlformats.org/officeDocument/2006/relationships/hyperlink" Target="https://www.pref.shiga.lg.jp/kensei/koho/e-shinbun/oshirase/311191.html" TargetMode="External"/><Relationship Id="rId1181" Type="http://schemas.openxmlformats.org/officeDocument/2006/relationships/hyperlink" Target="https://www.pref.shiga.lg.jp/kensei/koho/e-shinbun/oshirase/311247.html" TargetMode="External"/><Relationship Id="rId119" Type="http://schemas.openxmlformats.org/officeDocument/2006/relationships/hyperlink" Target="https://www.pref.chiba.lg.jp/shippei/press/2019/ncov20200307.html" TargetMode="External"/><Relationship Id="rId1182" Type="http://schemas.openxmlformats.org/officeDocument/2006/relationships/hyperlink" Target="https://www.pref.shiga.lg.jp/kensei/koho/e-shinbun/oshirase/311276.html" TargetMode="External"/><Relationship Id="rId110" Type="http://schemas.openxmlformats.org/officeDocument/2006/relationships/hyperlink" Target="https://www.pref.saitama.lg.jp/a0001/news/page/2019/0312-06.html" TargetMode="External"/><Relationship Id="rId352" Type="http://schemas.openxmlformats.org/officeDocument/2006/relationships/hyperlink" Target="https://www.pref.kanagawa.jp/documents/58277/20200320_yokosuka_corona.pdf" TargetMode="External"/><Relationship Id="rId594" Type="http://schemas.openxmlformats.org/officeDocument/2006/relationships/hyperlink" Target="http://www.pref.osaka.lg.jp/hodo/attach/hodo-37814_4.pdf" TargetMode="External"/><Relationship Id="rId1183" Type="http://schemas.openxmlformats.org/officeDocument/2006/relationships/hyperlink" Target="https://www.pref.shiga.lg.jp/kensei/koho/e-shinbun/oshirase/311276.html" TargetMode="External"/><Relationship Id="rId351" Type="http://schemas.openxmlformats.org/officeDocument/2006/relationships/hyperlink" Target="https://www.pref.kanagawa.jp/documents/58277/20200315_yokosuka_corona.doc;https://www.city.yokosuka.kanagawa.jp/3130/nagekomi/20200316.html;https://www.city.yokosuka.kanagawa.jp/3130/nagekomi/20200317.html" TargetMode="External"/><Relationship Id="rId593" Type="http://schemas.openxmlformats.org/officeDocument/2006/relationships/hyperlink" Target="http://www.pref.osaka.lg.jp/hodo/attach/hodo-37913_4.pdf" TargetMode="External"/><Relationship Id="rId1184" Type="http://schemas.openxmlformats.org/officeDocument/2006/relationships/hyperlink" Target="https://www.pref.shiga.lg.jp/kensei/koho/e-shinbun/oshirase/311276.html" TargetMode="External"/><Relationship Id="rId350" Type="http://schemas.openxmlformats.org/officeDocument/2006/relationships/hyperlink" Target="https://www.pref.kanagawa.jp/docs/ga5/bukanshi/occurrence.html" TargetMode="External"/><Relationship Id="rId592" Type="http://schemas.openxmlformats.org/officeDocument/2006/relationships/hyperlink" Target="http://www.pref.osaka.lg.jp/hodo/attach/hodo-37913_4.pdf" TargetMode="External"/><Relationship Id="rId1185" Type="http://schemas.openxmlformats.org/officeDocument/2006/relationships/hyperlink" Target="https://www.pref.shiga.lg.jp/kensei/koho/e-shinbun/oshirase/311276.html" TargetMode="External"/><Relationship Id="rId591" Type="http://schemas.openxmlformats.org/officeDocument/2006/relationships/hyperlink" Target="http://www.pref.osaka.lg.jp/hodo/attach/hodo-37808_4.pdf" TargetMode="External"/><Relationship Id="rId1186" Type="http://schemas.openxmlformats.org/officeDocument/2006/relationships/hyperlink" Target="https://www.pref.fukui.lg.jp/doc/kenkou/kansensyo-yobousessyu/corona_d/fil/200329-1.pdf" TargetMode="External"/><Relationship Id="rId114" Type="http://schemas.openxmlformats.org/officeDocument/2006/relationships/hyperlink" Target="https://www.city.saitama.jp/002/001/008/006/001/p070442.html" TargetMode="External"/><Relationship Id="rId356" Type="http://schemas.openxmlformats.org/officeDocument/2006/relationships/hyperlink" Target="https://www.pref.kanagawa.jp/docs/ga4/bukanshi/occurrence.html" TargetMode="External"/><Relationship Id="rId598" Type="http://schemas.openxmlformats.org/officeDocument/2006/relationships/hyperlink" Target="http://www.pref.osaka.lg.jp/hodo/attach/hodo-37645_5.pdf" TargetMode="External"/><Relationship Id="rId1187" Type="http://schemas.openxmlformats.org/officeDocument/2006/relationships/hyperlink" Target="https://www.pref.fukui.lg.jp/doc/kenkou/kansensyo-yobousessyu/corona_d/fil/200401-2.pdf;https://www.chunichi.co.jp/article/fukui/20200407/CK2020040702000043.html" TargetMode="External"/><Relationship Id="rId113" Type="http://schemas.openxmlformats.org/officeDocument/2006/relationships/hyperlink" Target="https://www.city.saitama.jp/002/001/008/006/001/p070442.html" TargetMode="External"/><Relationship Id="rId355" Type="http://schemas.openxmlformats.org/officeDocument/2006/relationships/hyperlink" Target="http://www.kansensho.or.jp/uploads/files/topics/2019ncov/covid19_casereport_200312_4.pdf" TargetMode="External"/><Relationship Id="rId597" Type="http://schemas.openxmlformats.org/officeDocument/2006/relationships/hyperlink" Target="http://www.pref.osaka.lg.jp/hodo/attach/hodo-37633_5.pdf" TargetMode="External"/><Relationship Id="rId1188" Type="http://schemas.openxmlformats.org/officeDocument/2006/relationships/hyperlink" Target="https://www.pref.fukui.lg.jp/doc/kenkou/kansensyo-yobousessyu/corona_d/fil/200326.pdf" TargetMode="External"/><Relationship Id="rId112" Type="http://schemas.openxmlformats.org/officeDocument/2006/relationships/hyperlink" Target="https://www.city.saitama.jp/002/001/008/006/001/p070442.html" TargetMode="External"/><Relationship Id="rId354" Type="http://schemas.openxmlformats.org/officeDocument/2006/relationships/hyperlink" Target="https://www.pref.kanagawa.jp/docs/ga4/bukanshi/occurrence.html" TargetMode="External"/><Relationship Id="rId596" Type="http://schemas.openxmlformats.org/officeDocument/2006/relationships/hyperlink" Target="http://www.pref.osaka.lg.jp/hodo/attach/hodo-37814_4.pdf" TargetMode="External"/><Relationship Id="rId1189" Type="http://schemas.openxmlformats.org/officeDocument/2006/relationships/hyperlink" Target="https://www.pref.fukui.lg.jp/doc/kenkou/kansensyo-yobousessyu/corona_d/fil/200326.pdf" TargetMode="External"/><Relationship Id="rId111" Type="http://schemas.openxmlformats.org/officeDocument/2006/relationships/hyperlink" Target="https://www.pref.saitama.lg.jp/a0701/covid19/jokyo.html" TargetMode="External"/><Relationship Id="rId353" Type="http://schemas.openxmlformats.org/officeDocument/2006/relationships/hyperlink" Target="https://www.pref.kanagawa.jp/documents/58277/20200320_yokosuka_corona.pdf" TargetMode="External"/><Relationship Id="rId595" Type="http://schemas.openxmlformats.org/officeDocument/2006/relationships/hyperlink" Target="http://www.pref.osaka.lg.jp/hodo/attach/hodo-37814_4.pdf" TargetMode="External"/><Relationship Id="rId1136" Type="http://schemas.openxmlformats.org/officeDocument/2006/relationships/hyperlink" Target="https://www.pref.miyazaki.lg.jp/kohosenryaku/kenko/hoken/covid19_20200403-2.html" TargetMode="External"/><Relationship Id="rId1137" Type="http://schemas.openxmlformats.org/officeDocument/2006/relationships/hyperlink" Target="https://www.pref.miyazaki.lg.jp/kohosenryaku/kenko/hoken/covid19_20200404.html" TargetMode="External"/><Relationship Id="rId1138" Type="http://schemas.openxmlformats.org/officeDocument/2006/relationships/hyperlink" Target="https://www.pref.miyazaki.lg.jp/kohosenryaku/kenko/hoken/covid19_20200405.html" TargetMode="External"/><Relationship Id="rId1139" Type="http://schemas.openxmlformats.org/officeDocument/2006/relationships/hyperlink" Target="https://www.pref.okinawa.jp/site/hoken/chiikihoken/kekkaku/press/documents/20200404_covid19_12.pdf" TargetMode="External"/><Relationship Id="rId305" Type="http://schemas.openxmlformats.org/officeDocument/2006/relationships/hyperlink" Target="http://www.eijuhp.com/news/jyuyo/news_20200326menkai.html" TargetMode="External"/><Relationship Id="rId547" Type="http://schemas.openxmlformats.org/officeDocument/2006/relationships/hyperlink" Target="https://www.pref.mie.lg.jp/YAKUMUS/HP/m0068000071_00016.htm" TargetMode="External"/><Relationship Id="rId789" Type="http://schemas.openxmlformats.org/officeDocument/2006/relationships/hyperlink" Target="http://www.pref.osaka.lg.jp/hodo/attach/hodo-37949_4.pdf" TargetMode="External"/><Relationship Id="rId304" Type="http://schemas.openxmlformats.org/officeDocument/2006/relationships/hyperlink" Target="http://www.eijuhp.com/news/jyuyo/news_20200326menkai.html" TargetMode="External"/><Relationship Id="rId546" Type="http://schemas.openxmlformats.org/officeDocument/2006/relationships/hyperlink" Target="https://www.pref.mie.lg.jp/YAKUMUS/HP/m0068000071_00016.htm" TargetMode="External"/><Relationship Id="rId788" Type="http://schemas.openxmlformats.org/officeDocument/2006/relationships/hyperlink" Target="http://www.pref.osaka.lg.jp/hodo/attach/hodo-37659_5.pdf" TargetMode="External"/><Relationship Id="rId303" Type="http://schemas.openxmlformats.org/officeDocument/2006/relationships/hyperlink" Target="http://www.eijuhp.com/news/jyuyo/news_20200326menkai.html" TargetMode="External"/><Relationship Id="rId545" Type="http://schemas.openxmlformats.org/officeDocument/2006/relationships/hyperlink" Target="https://www.pref.mie.lg.jp/YAKUMUS/HP/m0068000071_00016.htm" TargetMode="External"/><Relationship Id="rId787" Type="http://schemas.openxmlformats.org/officeDocument/2006/relationships/hyperlink" Target="http://www.pref.osaka.lg.jp/hodo/attach/hodo-37955_4.pdf" TargetMode="External"/><Relationship Id="rId302" Type="http://schemas.openxmlformats.org/officeDocument/2006/relationships/hyperlink" Target="http://www.eijuhp.com/news/jyuyo/news_20200326menkai.html" TargetMode="External"/><Relationship Id="rId544" Type="http://schemas.openxmlformats.org/officeDocument/2006/relationships/hyperlink" Target="https://www.pref.mie.lg.jp/YAKUMUS/HP/m0068000071_00016.htm" TargetMode="External"/><Relationship Id="rId786" Type="http://schemas.openxmlformats.org/officeDocument/2006/relationships/hyperlink" Target="http://www.pref.osaka.lg.jp/hodo/attach/hodo-37729_4.pdf" TargetMode="External"/><Relationship Id="rId309" Type="http://schemas.openxmlformats.org/officeDocument/2006/relationships/hyperlink" Target="https://www.sanspo.com/geino/news/20200221/sot20022119050016-n1.html" TargetMode="External"/><Relationship Id="rId308" Type="http://schemas.openxmlformats.org/officeDocument/2006/relationships/hyperlink" Target="https://news.tv-asahi.co.jp/news_society/articles/000176717.html" TargetMode="External"/><Relationship Id="rId307" Type="http://schemas.openxmlformats.org/officeDocument/2006/relationships/hyperlink" Target="http://www.eijuhp.com/news/jyuyo/news_20200326menkai.html" TargetMode="External"/><Relationship Id="rId549" Type="http://schemas.openxmlformats.org/officeDocument/2006/relationships/hyperlink" Target="https://www.pref.mie.lg.jp/YAKUMUS/HP/m0068000071_00014.htm" TargetMode="External"/><Relationship Id="rId306" Type="http://schemas.openxmlformats.org/officeDocument/2006/relationships/hyperlink" Target="http://www.eijuhp.com/news/jyuyo/news_20200326menkai.html" TargetMode="External"/><Relationship Id="rId548" Type="http://schemas.openxmlformats.org/officeDocument/2006/relationships/hyperlink" Target="https://www.pref.mie.lg.jp/YAKUMUS/HP/m0068000071_00014.htm" TargetMode="External"/><Relationship Id="rId781" Type="http://schemas.openxmlformats.org/officeDocument/2006/relationships/hyperlink" Target="http://www.pref.osaka.lg.jp/hodo/attach/hodo-37955_4.pdf" TargetMode="External"/><Relationship Id="rId780" Type="http://schemas.openxmlformats.org/officeDocument/2006/relationships/hyperlink" Target="http://www.pref.osaka.lg.jp/hodo/attach/hodo-37656_5.pdf" TargetMode="External"/><Relationship Id="rId1130" Type="http://schemas.openxmlformats.org/officeDocument/2006/relationships/hyperlink" Target="http://www.pref.oita.jp/uploaded/attachment/2077069.pdf" TargetMode="External"/><Relationship Id="rId1131" Type="http://schemas.openxmlformats.org/officeDocument/2006/relationships/hyperlink" Target="http://www.pref.oita.jp/uploaded/attachment/2077087.pdf" TargetMode="External"/><Relationship Id="rId301" Type="http://schemas.openxmlformats.org/officeDocument/2006/relationships/hyperlink" Target="http://www.eijuhp.com/news/jyuyo/news_20200326menkai.html" TargetMode="External"/><Relationship Id="rId543" Type="http://schemas.openxmlformats.org/officeDocument/2006/relationships/hyperlink" Target="https://www.pref.mie.lg.jp/YAKUMUS/HP/m0068000071_00016.htm" TargetMode="External"/><Relationship Id="rId785" Type="http://schemas.openxmlformats.org/officeDocument/2006/relationships/hyperlink" Target="http://www.pref.osaka.lg.jp/hodo/attach/hodo-37656_5.pdf" TargetMode="External"/><Relationship Id="rId1132" Type="http://schemas.openxmlformats.org/officeDocument/2006/relationships/hyperlink" Target="https://news.livedoor.com/article/detail/18003925/;http://www.pref.oita.jp/uploaded/attachment/2074590.pdf" TargetMode="External"/><Relationship Id="rId300" Type="http://schemas.openxmlformats.org/officeDocument/2006/relationships/hyperlink" Target="http://www.eijuhp.com/news/jyuyo/news_20200326menkai.html" TargetMode="External"/><Relationship Id="rId542" Type="http://schemas.openxmlformats.org/officeDocument/2006/relationships/hyperlink" Target="https://www.pref.mie.lg.jp/YAKUMUS/HP/m0068000071_00031.htm;https://www.pref.mie.lg.jp/YAKUMUS/HP/m0068000071_00035.htm" TargetMode="External"/><Relationship Id="rId784" Type="http://schemas.openxmlformats.org/officeDocument/2006/relationships/hyperlink" Target="http://www.pref.osaka.lg.jp/hodo/attach/hodo-37938_4.pdf" TargetMode="External"/><Relationship Id="rId1133" Type="http://schemas.openxmlformats.org/officeDocument/2006/relationships/hyperlink" Target="https://news.livedoor.com/article/detail/18003925/;http://www.pref.oita.jp/uploaded/attachment/2074590.pdf" TargetMode="External"/><Relationship Id="rId541" Type="http://schemas.openxmlformats.org/officeDocument/2006/relationships/hyperlink" Target="http://www.city.nagoya.jp/kenkofukushi/cmsfiles/contents/0000126/126920/200314kannzyazyouhou.pdf" TargetMode="External"/><Relationship Id="rId783" Type="http://schemas.openxmlformats.org/officeDocument/2006/relationships/hyperlink" Target="http://www.pref.osaka.lg.jp/hodo/attach/hodo-37949_4.pdf" TargetMode="External"/><Relationship Id="rId1134" Type="http://schemas.openxmlformats.org/officeDocument/2006/relationships/hyperlink" Target="http://www.pref.oita.jp/uploaded/attachment/2074590.pdf" TargetMode="External"/><Relationship Id="rId540" Type="http://schemas.openxmlformats.org/officeDocument/2006/relationships/hyperlink" Target="http://www.city.nagoya.jp/kenkofukushi/cmsfiles/contents/0000126/126920/200313kannzyazyouhou.pdf" TargetMode="External"/><Relationship Id="rId782" Type="http://schemas.openxmlformats.org/officeDocument/2006/relationships/hyperlink" Target="http://www.pref.osaka.lg.jp/hodo/attach/hodo-37656_5.pdf" TargetMode="External"/><Relationship Id="rId1135" Type="http://schemas.openxmlformats.org/officeDocument/2006/relationships/hyperlink" Target="https://www.pref.miyazaki.lg.jp/kohosenryaku/kenko/hoken/20200407.html" TargetMode="External"/><Relationship Id="rId1125" Type="http://schemas.openxmlformats.org/officeDocument/2006/relationships/hyperlink" Target="https://www.nikkei.com/article/DGXMZO57080660S0A320C2000000/" TargetMode="External"/><Relationship Id="rId1126" Type="http://schemas.openxmlformats.org/officeDocument/2006/relationships/hyperlink" Target="https://www.nikkei.com/article/DGXMZO57080660S0A320C2000000/" TargetMode="External"/><Relationship Id="rId1127" Type="http://schemas.openxmlformats.org/officeDocument/2006/relationships/hyperlink" Target="https://www.nikkei.com/article/DGXMZO57080660S0A320C2000000/" TargetMode="External"/><Relationship Id="rId1128" Type="http://schemas.openxmlformats.org/officeDocument/2006/relationships/hyperlink" Target="https://www3.nhk.or.jp/news/html/20200325/k10012349501000.html" TargetMode="External"/><Relationship Id="rId1129" Type="http://schemas.openxmlformats.org/officeDocument/2006/relationships/hyperlink" Target="https://www3.nhk.or.jp/news/html/20200325/k10012349501000.html" TargetMode="External"/><Relationship Id="rId536" Type="http://schemas.openxmlformats.org/officeDocument/2006/relationships/hyperlink" Target="http://www.city.nagoya.jp/kenkofukushi/cmsfiles/contents/0000126/126920/R20308kisya.pdf" TargetMode="External"/><Relationship Id="rId778" Type="http://schemas.openxmlformats.org/officeDocument/2006/relationships/hyperlink" Target="http://www.pref.osaka.lg.jp/hodo/attach/hodo-37934_4.pdf" TargetMode="External"/><Relationship Id="rId535" Type="http://schemas.openxmlformats.org/officeDocument/2006/relationships/hyperlink" Target="http://www.city.nagoya.jp/kenkofukushi/cmsfiles/contents/0000126/126920/R20226kisya.pdf;https://www.chunichi.co.jp/article/feature/coronavirus/list/CK2020031402000209.html" TargetMode="External"/><Relationship Id="rId777" Type="http://schemas.openxmlformats.org/officeDocument/2006/relationships/hyperlink" Target="http://www.pref.osaka.lg.jp/hodo/attach/hodo-37656_5.pdf" TargetMode="External"/><Relationship Id="rId534" Type="http://schemas.openxmlformats.org/officeDocument/2006/relationships/hyperlink" Target="http://www.city.nagoya.jp/kenkofukushi/cmsfiles/contents/0000126/126920/R20226kisya.pdf;https://www.chunichi.co.jp/article/feature/coronavirus/list/CK2020031402000209.html" TargetMode="External"/><Relationship Id="rId776" Type="http://schemas.openxmlformats.org/officeDocument/2006/relationships/hyperlink" Target="http://www.pref.osaka.lg.jp/hodo/attach/hodo-37656_5.pdf" TargetMode="External"/><Relationship Id="rId533" Type="http://schemas.openxmlformats.org/officeDocument/2006/relationships/hyperlink" Target="http://www.city.nagoya.jp/kenkofukushi/cmsfiles/contents/0000126/126920/R20226kisya.pdf;https://www.chunichi.co.jp/article/feature/coronavirus/list/CK2020031402000209.html" TargetMode="External"/><Relationship Id="rId775" Type="http://schemas.openxmlformats.org/officeDocument/2006/relationships/hyperlink" Target="http://www.pref.osaka.lg.jp/hodo/attach/hodo-37949_4.pdf" TargetMode="External"/><Relationship Id="rId539" Type="http://schemas.openxmlformats.org/officeDocument/2006/relationships/hyperlink" Target="http://www.city.nagoya.jp/kenkofukushi/cmsfiles/contents/0000126/126920/200320kisya.pdf" TargetMode="External"/><Relationship Id="rId538" Type="http://schemas.openxmlformats.org/officeDocument/2006/relationships/hyperlink" Target="http://www.city.nagoya.jp/kenkofukushi/cmsfiles/contents/0000126/126920/R20312kisya(youseikanjya).pdf" TargetMode="External"/><Relationship Id="rId537" Type="http://schemas.openxmlformats.org/officeDocument/2006/relationships/hyperlink" Target="http://www.city.nagoya.jp/kenkofukushi/cmsfiles/contents/0000126/126920/R20226kisya.pdf" TargetMode="External"/><Relationship Id="rId779" Type="http://schemas.openxmlformats.org/officeDocument/2006/relationships/hyperlink" Target="http://www.pref.osaka.lg.jp/hodo/attach/hodo-37949_4.pdf" TargetMode="External"/><Relationship Id="rId770" Type="http://schemas.openxmlformats.org/officeDocument/2006/relationships/hyperlink" Target="http://www.pref.osaka.lg.jp/hodo/attach/hodo-37656_5.pdf" TargetMode="External"/><Relationship Id="rId1120" Type="http://schemas.openxmlformats.org/officeDocument/2006/relationships/hyperlink" Target="https://news.livedoor.com/article/detail/18003925/" TargetMode="External"/><Relationship Id="rId532" Type="http://schemas.openxmlformats.org/officeDocument/2006/relationships/hyperlink" Target="http://www.city.nagoya.jp/kenkofukushi/cmsfiles/contents/0000126/126920/R20225kisya.pdf;https://www.chunichi.co.jp/article/feature/coronavirus/list/CK2020031402000209.html" TargetMode="External"/><Relationship Id="rId774" Type="http://schemas.openxmlformats.org/officeDocument/2006/relationships/hyperlink" Target="http://www.pref.osaka.lg.jp/hodo/attach/hodo-37934_4.pdf" TargetMode="External"/><Relationship Id="rId1121" Type="http://schemas.openxmlformats.org/officeDocument/2006/relationships/hyperlink" Target="https://news.livedoor.com/article/detail/18003925/" TargetMode="External"/><Relationship Id="rId531" Type="http://schemas.openxmlformats.org/officeDocument/2006/relationships/hyperlink" Target="http://www.city.nagoya.jp/kenkofukushi/cmsfiles/contents/0000126/126920/R20222kisya.pdf;https://www.chunichi.co.jp/article/feature/coronavirus/list/CK2020031402000209.html" TargetMode="External"/><Relationship Id="rId773" Type="http://schemas.openxmlformats.org/officeDocument/2006/relationships/hyperlink" Target="http://www.pref.osaka.lg.jp/hodo/attach/hodo-37938_4.pdf" TargetMode="External"/><Relationship Id="rId1122" Type="http://schemas.openxmlformats.org/officeDocument/2006/relationships/hyperlink" Target="https://www3.nhk.or.jp/news/html/20200325/k10012349501000.html" TargetMode="External"/><Relationship Id="rId530" Type="http://schemas.openxmlformats.org/officeDocument/2006/relationships/hyperlink" Target="http://www.city.nagoya.jp/kenkofukushi/cmsfiles/contents/0000126/126920/R20222kisya.pdf;https://www.chunichi.co.jp/article/feature/coronavirus/list/CK2020031402000209.html" TargetMode="External"/><Relationship Id="rId772" Type="http://schemas.openxmlformats.org/officeDocument/2006/relationships/hyperlink" Target="http://www.pref.osaka.lg.jp/hodo/attach/hodo-37656_5.pdf" TargetMode="External"/><Relationship Id="rId1123" Type="http://schemas.openxmlformats.org/officeDocument/2006/relationships/hyperlink" Target="https://www.nikkei.com/article/DGXMZO57080660S0A320C2000000/" TargetMode="External"/><Relationship Id="rId771" Type="http://schemas.openxmlformats.org/officeDocument/2006/relationships/hyperlink" Target="http://www.pref.osaka.lg.jp/hodo/attach/hodo-37955_4.pdf" TargetMode="External"/><Relationship Id="rId1124" Type="http://schemas.openxmlformats.org/officeDocument/2006/relationships/hyperlink" Target="https://www.nikkei.com/article/DGXMZO57080660S0A320C2000000/" TargetMode="External"/><Relationship Id="rId1158" Type="http://schemas.openxmlformats.org/officeDocument/2006/relationships/hyperlink" Target="http://www.pref.hokkaido.lg.jp/hf/kth/kak/kisyakaiken0409-2siryou.pdf" TargetMode="External"/><Relationship Id="rId1159" Type="http://schemas.openxmlformats.org/officeDocument/2006/relationships/hyperlink" Target="http://www.pref.hokkaido.lg.jp/hf/kth/kak/kisyakaiken0409siryou.pdf" TargetMode="External"/><Relationship Id="rId327" Type="http://schemas.openxmlformats.org/officeDocument/2006/relationships/hyperlink" Target="https://catalog.data.metro.tokyo.lg.jp/dataset/t000010d0000000068/resource/c2d997db-1450-43fa-8037-ebb11ec28d4c;https://www.bousai.metro.tokyo.lg.jp/taisaku/saigai/1007261/1007474.html;https://www.asahi.com/articles/ASN3D72L3N3DUTIL03X.html" TargetMode="External"/><Relationship Id="rId569" Type="http://schemas.openxmlformats.org/officeDocument/2006/relationships/hyperlink" Target="http://www.pref.kyoto.jp/kentai/news/documents/20200330-48-49.pdf" TargetMode="External"/><Relationship Id="rId326" Type="http://schemas.openxmlformats.org/officeDocument/2006/relationships/hyperlink" Target="https://www3.nhk.or.jp/news/html/20200307/k10012319201000.html" TargetMode="External"/><Relationship Id="rId568" Type="http://schemas.openxmlformats.org/officeDocument/2006/relationships/hyperlink" Target="http://www.pref.kyoto.jp/kentai/news/documents/20200330-48-49.pdf" TargetMode="External"/><Relationship Id="rId325" Type="http://schemas.openxmlformats.org/officeDocument/2006/relationships/hyperlink" Target="https://www.city.adachi.tokyo.jp/hodo/juyo/0305juyo.html" TargetMode="External"/><Relationship Id="rId567" Type="http://schemas.openxmlformats.org/officeDocument/2006/relationships/hyperlink" Target="https://www.pref.kyoto.jp/kentai/news/documents/20200329-45.pdf" TargetMode="External"/><Relationship Id="rId324" Type="http://schemas.openxmlformats.org/officeDocument/2006/relationships/hyperlink" Target="https://www.city.adachi.tokyo.jp/hodo/juyo/0305juyo.html" TargetMode="External"/><Relationship Id="rId566" Type="http://schemas.openxmlformats.org/officeDocument/2006/relationships/hyperlink" Target="http://www.pref.kyoto.jp/kentai/news/documents/20200330-52-53-54.pdf" TargetMode="External"/><Relationship Id="rId329" Type="http://schemas.openxmlformats.org/officeDocument/2006/relationships/hyperlink" Target="https://www.pref.kanagawa.jp/documents/58277/20200327_yokohama_corona.pdf" TargetMode="External"/><Relationship Id="rId328" Type="http://schemas.openxmlformats.org/officeDocument/2006/relationships/hyperlink" Target="https://www3.nhk.or.jp/news/html/20200216/k10012288171000.html" TargetMode="External"/><Relationship Id="rId561" Type="http://schemas.openxmlformats.org/officeDocument/2006/relationships/hyperlink" Target="https://www.mhlw.go.jp/content/10906000/000615142.pdf" TargetMode="External"/><Relationship Id="rId1150" Type="http://schemas.openxmlformats.org/officeDocument/2006/relationships/hyperlink" Target="http://www.pref.hokkaido.lg.jp/hf/kth/kak/kisyakaiken0408-2siryou.pdf;https://www.asahi.com/articles/ASN4973J0N49IIPE002.html" TargetMode="External"/><Relationship Id="rId560" Type="http://schemas.openxmlformats.org/officeDocument/2006/relationships/hyperlink" Target="https://www.pref.kyoto.jp/kentai/news/novelcoronavirus.html" TargetMode="External"/><Relationship Id="rId1151" Type="http://schemas.openxmlformats.org/officeDocument/2006/relationships/hyperlink" Target="http://www.pref.hokkaido.lg.jp/hf/kth/kak/kisyakaiken0409-2siryou.pdf" TargetMode="External"/><Relationship Id="rId1152" Type="http://schemas.openxmlformats.org/officeDocument/2006/relationships/hyperlink" Target="http://www.pref.hokkaido.lg.jp/hf/kth/kak/kisyakaiken0409-2siryou.pdf" TargetMode="External"/><Relationship Id="rId1153" Type="http://schemas.openxmlformats.org/officeDocument/2006/relationships/hyperlink" Target="http://www.pref.hokkaido.lg.jp/hf/kth/kak/kisyakaiken0409-2siryou.pdf" TargetMode="External"/><Relationship Id="rId323" Type="http://schemas.openxmlformats.org/officeDocument/2006/relationships/hyperlink" Target="https://mainichi.jp/articles/20200306/k00/00m/040/216000c" TargetMode="External"/><Relationship Id="rId565" Type="http://schemas.openxmlformats.org/officeDocument/2006/relationships/hyperlink" Target="http://www.pref.kyoto.jp/kentai/news/documents/20200330-52-53-54.pdf" TargetMode="External"/><Relationship Id="rId1154" Type="http://schemas.openxmlformats.org/officeDocument/2006/relationships/hyperlink" Target="http://www.pref.hokkaido.lg.jp/hf/kth/kak/kisyakaiken0409-2siryou.pdf" TargetMode="External"/><Relationship Id="rId322" Type="http://schemas.openxmlformats.org/officeDocument/2006/relationships/hyperlink" Target="https://www.city.setagaya.lg.jp/mokuji/kusei/001/001/004/d00184879.html" TargetMode="External"/><Relationship Id="rId564" Type="http://schemas.openxmlformats.org/officeDocument/2006/relationships/hyperlink" Target="http://www.pref.kyoto.jp/kentai/news/documents/20200330-52-53-54.pdf" TargetMode="External"/><Relationship Id="rId1155" Type="http://schemas.openxmlformats.org/officeDocument/2006/relationships/hyperlink" Target="http://www.pref.hokkaido.lg.jp/hf/kth/kak/kisyakaiken0409-2siryou.pdf" TargetMode="External"/><Relationship Id="rId321" Type="http://schemas.openxmlformats.org/officeDocument/2006/relationships/hyperlink" Target="https://www.city.adachi.tokyo.jp/hodo/juyo/0305juyo.html" TargetMode="External"/><Relationship Id="rId563" Type="http://schemas.openxmlformats.org/officeDocument/2006/relationships/hyperlink" Target="https://www.mhlw.go.jp/content/10906000/000615142.pdf" TargetMode="External"/><Relationship Id="rId1156" Type="http://schemas.openxmlformats.org/officeDocument/2006/relationships/hyperlink" Target="http://www.pref.hokkaido.lg.jp/hf/kth/kak/kisyakaiken0409-2siryou.pdf" TargetMode="External"/><Relationship Id="rId320" Type="http://schemas.openxmlformats.org/officeDocument/2006/relationships/hyperlink" Target="https://www.metro.tokyo.lg.jp/tosei/hodohappyo/press/2020/02/16/01.html" TargetMode="External"/><Relationship Id="rId562" Type="http://schemas.openxmlformats.org/officeDocument/2006/relationships/hyperlink" Target="https://www.mhlw.go.jp/content/10906000/000615142.pdf" TargetMode="External"/><Relationship Id="rId1157" Type="http://schemas.openxmlformats.org/officeDocument/2006/relationships/hyperlink" Target="http://www.pref.hokkaido.lg.jp/hf/kth/kak/kisyakaiken0409-2siryou.pdf" TargetMode="External"/><Relationship Id="rId1147" Type="http://schemas.openxmlformats.org/officeDocument/2006/relationships/hyperlink" Target="https://www.pref.akita.lg.jp/uploads/public/archive_0000047957_00/R02.04.04%E3%80%80%E5%A0%B1%E9%81%93%E7%99%BA%E8%A1%A8%E8%B3%87%E6%96%99%EF%BC%889%E3%80%8110%E4%BE%8B%E7%9B%AE%EF%BC%9A%E8%BF%BD%E5%8A%A0%E7%99%BA%E8%A1%A8%EF%BC%89.pdf" TargetMode="External"/><Relationship Id="rId1148" Type="http://schemas.openxmlformats.org/officeDocument/2006/relationships/hyperlink" Target="http://www.pref.hokkaido.lg.jp/hf/kth/kak/kisyakaiken0404-2siryou.pdf" TargetMode="External"/><Relationship Id="rId1149" Type="http://schemas.openxmlformats.org/officeDocument/2006/relationships/hyperlink" Target="http://www.pref.hokkaido.lg.jp/hf/kth/kak/kisyakaiken0407siryou.pdf" TargetMode="External"/><Relationship Id="rId316" Type="http://schemas.openxmlformats.org/officeDocument/2006/relationships/hyperlink" Target="https://www.jiji.com/jc/article?k=2020021401047&amp;g=soc" TargetMode="External"/><Relationship Id="rId558" Type="http://schemas.openxmlformats.org/officeDocument/2006/relationships/hyperlink" Target="https://www.mhlw.go.jp/content/10906000/000613927.pdf" TargetMode="External"/><Relationship Id="rId315" Type="http://schemas.openxmlformats.org/officeDocument/2006/relationships/hyperlink" Target="https://www.metro.tokyo.lg.jp/tosei/hodohappyo/press/2020/02/19/30.html" TargetMode="External"/><Relationship Id="rId557" Type="http://schemas.openxmlformats.org/officeDocument/2006/relationships/hyperlink" Target="https://www.pref.kyoto.jp/kentai/news/novelcoronavirus.html" TargetMode="External"/><Relationship Id="rId799" Type="http://schemas.openxmlformats.org/officeDocument/2006/relationships/hyperlink" Target="https://www.mhlw.go.jp/content/10906000/000607874.pdf" TargetMode="External"/><Relationship Id="rId314" Type="http://schemas.openxmlformats.org/officeDocument/2006/relationships/hyperlink" Target="https://www.metro.tokyo.lg.jp/tosei/hodohappyo/press/2020/02/17/30.html" TargetMode="External"/><Relationship Id="rId556" Type="http://schemas.openxmlformats.org/officeDocument/2006/relationships/hyperlink" Target="https://www.pref.kyoto.jp/kentai/news/novelcoronavirus.html" TargetMode="External"/><Relationship Id="rId798" Type="http://schemas.openxmlformats.org/officeDocument/2006/relationships/hyperlink" Target="http://www.pref.osaka.lg.jp/hodo/attach/hodo-37694_4.pdf" TargetMode="External"/><Relationship Id="rId313" Type="http://schemas.openxmlformats.org/officeDocument/2006/relationships/hyperlink" Target="https://www.metro.tokyo.lg.jp/tosei/hodohappyo/press/2020/02/16/01.html" TargetMode="External"/><Relationship Id="rId555" Type="http://schemas.openxmlformats.org/officeDocument/2006/relationships/hyperlink" Target="https://www.pref.kyoto.jp/kentai/news/novelcoronavirus.html" TargetMode="External"/><Relationship Id="rId797" Type="http://schemas.openxmlformats.org/officeDocument/2006/relationships/hyperlink" Target="http://www.pref.osaka.lg.jp/hodo/attach/hodo-37694_4.pdf" TargetMode="External"/><Relationship Id="rId319" Type="http://schemas.openxmlformats.org/officeDocument/2006/relationships/hyperlink" Target="https://www.metro.tokyo.lg.jp/tosei/hodohappyo/press/2020/02/16/01.html" TargetMode="External"/><Relationship Id="rId318" Type="http://schemas.openxmlformats.org/officeDocument/2006/relationships/hyperlink" Target="https://www.metro.tokyo.lg.jp/tosei/hodohappyo/press/2020/02/16/01.html" TargetMode="External"/><Relationship Id="rId317" Type="http://schemas.openxmlformats.org/officeDocument/2006/relationships/hyperlink" Target="https://www.metro.tokyo.lg.jp/tosei/hodohappyo/press/2020/02/14/33.html" TargetMode="External"/><Relationship Id="rId559" Type="http://schemas.openxmlformats.org/officeDocument/2006/relationships/hyperlink" Target="https://www.mhlw.go.jp/content/10906000/000613044.pdf" TargetMode="External"/><Relationship Id="rId550" Type="http://schemas.openxmlformats.org/officeDocument/2006/relationships/hyperlink" Target="https://www.pref.shiga.lg.jp/ippan/kenkouiryouhukushi/yakuzi/310735.html" TargetMode="External"/><Relationship Id="rId792" Type="http://schemas.openxmlformats.org/officeDocument/2006/relationships/hyperlink" Target="http://www.pref.osaka.lg.jp/hodo/attach/hodo-37802_4.pdf" TargetMode="External"/><Relationship Id="rId791" Type="http://schemas.openxmlformats.org/officeDocument/2006/relationships/hyperlink" Target="http://www.pref.osaka.lg.jp/hodo/attach/hodo-37955_4.pdf" TargetMode="External"/><Relationship Id="rId1140" Type="http://schemas.openxmlformats.org/officeDocument/2006/relationships/hyperlink" Target="https://www.pref.okinawa.jp/site/hoken/chiikihoken/kekkaku/press/documents/okinawa-cov0328.pdf" TargetMode="External"/><Relationship Id="rId790" Type="http://schemas.openxmlformats.org/officeDocument/2006/relationships/hyperlink" Target="http://www.pref.osaka.lg.jp/hodo/attach/hodo-37955_4.pdf" TargetMode="External"/><Relationship Id="rId1141" Type="http://schemas.openxmlformats.org/officeDocument/2006/relationships/hyperlink" Target="https://www.pref.fukushima.lg.jp/uploaded/attachment/379877.pdf" TargetMode="External"/><Relationship Id="rId1142" Type="http://schemas.openxmlformats.org/officeDocument/2006/relationships/hyperlink" Target="https://www.pref.fukushima.lg.jp/uploaded/attachment/379877.pdf" TargetMode="External"/><Relationship Id="rId312" Type="http://schemas.openxmlformats.org/officeDocument/2006/relationships/hyperlink" Target="https://www.metro.tokyo.lg.jp/tosei/hodohappyo/press/2020/02/16/01.html" TargetMode="External"/><Relationship Id="rId554" Type="http://schemas.openxmlformats.org/officeDocument/2006/relationships/hyperlink" Target="https://www3.nhk.or.jp/news/html/20200311/k10012326371000.html" TargetMode="External"/><Relationship Id="rId796" Type="http://schemas.openxmlformats.org/officeDocument/2006/relationships/hyperlink" Target="http://www.pref.osaka.lg.jp/hodo/attach/hodo-37659_5.pdf" TargetMode="External"/><Relationship Id="rId1143" Type="http://schemas.openxmlformats.org/officeDocument/2006/relationships/hyperlink" Target="https://www.pref.fukushima.lg.jp/uploaded/attachment/380207.pdf" TargetMode="External"/><Relationship Id="rId311" Type="http://schemas.openxmlformats.org/officeDocument/2006/relationships/hyperlink" Target="https://www.metro.tokyo.lg.jp/tosei/hodohappyo/press/2020/02/16/01.html" TargetMode="External"/><Relationship Id="rId553" Type="http://schemas.openxmlformats.org/officeDocument/2006/relationships/hyperlink" Target="https://mainichi.jp/articles/20200311/k00/00m/040/307000c" TargetMode="External"/><Relationship Id="rId795" Type="http://schemas.openxmlformats.org/officeDocument/2006/relationships/hyperlink" Target="http://www.pref.osaka.lg.jp/hodo/attach/hodo-37659_5.pdf" TargetMode="External"/><Relationship Id="rId1144" Type="http://schemas.openxmlformats.org/officeDocument/2006/relationships/hyperlink" Target="https://www.pref.fukushima.lg.jp/uploaded/attachment/380207.pdf" TargetMode="External"/><Relationship Id="rId310" Type="http://schemas.openxmlformats.org/officeDocument/2006/relationships/hyperlink" Target="https://www.metro.tokyo.lg.jp/tosei/hodohappyo/press/2020/02/16/01.html" TargetMode="External"/><Relationship Id="rId552" Type="http://schemas.openxmlformats.org/officeDocument/2006/relationships/hyperlink" Target="https://www.pref.shiga.lg.jp/kensei/koho/e-shinbun/oshirase/311166.html" TargetMode="External"/><Relationship Id="rId794" Type="http://schemas.openxmlformats.org/officeDocument/2006/relationships/hyperlink" Target="http://www.pref.osaka.lg.jp/hodo/attach/hodo-37659_5.pdf" TargetMode="External"/><Relationship Id="rId1145" Type="http://schemas.openxmlformats.org/officeDocument/2006/relationships/hyperlink" Target="https://www.pref.fukushima.lg.jp/uploaded/attachment/380203.pdf" TargetMode="External"/><Relationship Id="rId551" Type="http://schemas.openxmlformats.org/officeDocument/2006/relationships/hyperlink" Target="https://www.pref.shiga.lg.jp/kensei/koho/e-shinbun/oshirase/311166.html" TargetMode="External"/><Relationship Id="rId793" Type="http://schemas.openxmlformats.org/officeDocument/2006/relationships/hyperlink" Target="http://www.pref.osaka.lg.jp/hodo/attach/hodo-37802_4.pdf" TargetMode="External"/><Relationship Id="rId1146" Type="http://schemas.openxmlformats.org/officeDocument/2006/relationships/hyperlink" Target="https://www.pref.akita.lg.jp/uploads/public/archive_0000047957_00/R02.04.03%E3%80%80%E5%A0%B1%E9%81%93%E7%99%BA%E8%A1%A8%E8%B3%87%E6%96%99%EF%BC%889%E4%BE%8B%E7%9B%AE%EF%BC%9A%E8%BF%BD%E5%8A%A0%E7%99%BA%E8%A1%A8%EF%BC%89.pdf" TargetMode="External"/><Relationship Id="rId297" Type="http://schemas.openxmlformats.org/officeDocument/2006/relationships/hyperlink" Target="https://www.city.suginami.tokyo.jp/news/r0203/1058792.html" TargetMode="External"/><Relationship Id="rId296" Type="http://schemas.openxmlformats.org/officeDocument/2006/relationships/hyperlink" Target="https://www.city.suginami.tokyo.jp/news/r0202/1058791.html" TargetMode="External"/><Relationship Id="rId295" Type="http://schemas.openxmlformats.org/officeDocument/2006/relationships/hyperlink" Target="https://news.tv-asahi.co.jp/news_society/articles/000176717.html" TargetMode="External"/><Relationship Id="rId294" Type="http://schemas.openxmlformats.org/officeDocument/2006/relationships/hyperlink" Target="http://www.eijuhp.com/news/jyuyo/news_20200325menkai.html" TargetMode="External"/><Relationship Id="rId299" Type="http://schemas.openxmlformats.org/officeDocument/2006/relationships/hyperlink" Target="http://www.eijuhp.com/news/jyuyo/news_20200326menkai.html" TargetMode="External"/><Relationship Id="rId298" Type="http://schemas.openxmlformats.org/officeDocument/2006/relationships/hyperlink" Target="http://www.eijuhp.com/news/jyuyo/news_20200326menkai.html" TargetMode="External"/><Relationship Id="rId271" Type="http://schemas.openxmlformats.org/officeDocument/2006/relationships/hyperlink" Target="https://www.pref.chiba.lg.jp/shippei/press/2019/ncov20200328-4.html" TargetMode="External"/><Relationship Id="rId270" Type="http://schemas.openxmlformats.org/officeDocument/2006/relationships/hyperlink" Target="https://www.pref.chiba.lg.jp/shippei/press/2019/ncov20200328-4.html" TargetMode="External"/><Relationship Id="rId269" Type="http://schemas.openxmlformats.org/officeDocument/2006/relationships/hyperlink" Target="https://www.pref.chiba.lg.jp/shippei/press/2019/ncov20200328-4.html" TargetMode="External"/><Relationship Id="rId264" Type="http://schemas.openxmlformats.org/officeDocument/2006/relationships/hyperlink" Target="https://www.pref.chiba.lg.jp/shippei/press/2019/ncov20200328-4.html" TargetMode="External"/><Relationship Id="rId263" Type="http://schemas.openxmlformats.org/officeDocument/2006/relationships/hyperlink" Target="https://www.pref.chiba.lg.jp/shippei/press/2019/ncov20200328-4.html" TargetMode="External"/><Relationship Id="rId262" Type="http://schemas.openxmlformats.org/officeDocument/2006/relationships/hyperlink" Target="https://www.pref.chiba.lg.jp/shippei/press/2019/ncov20200328-4.html" TargetMode="External"/><Relationship Id="rId261" Type="http://schemas.openxmlformats.org/officeDocument/2006/relationships/hyperlink" Target="https://www.pref.chiba.lg.jp/shippei/press/2019/ncov20200328-4.html" TargetMode="External"/><Relationship Id="rId268" Type="http://schemas.openxmlformats.org/officeDocument/2006/relationships/hyperlink" Target="https://www.pref.chiba.lg.jp/shippei/press/2019/ncov20200328-4.html" TargetMode="External"/><Relationship Id="rId267" Type="http://schemas.openxmlformats.org/officeDocument/2006/relationships/hyperlink" Target="https://www.pref.chiba.lg.jp/shippei/press/2019/ncov20200328-4.html" TargetMode="External"/><Relationship Id="rId266" Type="http://schemas.openxmlformats.org/officeDocument/2006/relationships/hyperlink" Target="https://www.pref.chiba.lg.jp/shippei/press/2019/ncov20200328-4.html" TargetMode="External"/><Relationship Id="rId265" Type="http://schemas.openxmlformats.org/officeDocument/2006/relationships/hyperlink" Target="https://www.pref.chiba.lg.jp/shippei/press/2019/ncov20200328-4.html" TargetMode="External"/><Relationship Id="rId260" Type="http://schemas.openxmlformats.org/officeDocument/2006/relationships/hyperlink" Target="https://www.pref.chiba.lg.jp/shippei/press/2019/ncov20200328-4.html" TargetMode="External"/><Relationship Id="rId259" Type="http://schemas.openxmlformats.org/officeDocument/2006/relationships/hyperlink" Target="https://www.pref.chiba.lg.jp/shippei/press/2019/ncov20200328-4.html" TargetMode="External"/><Relationship Id="rId258" Type="http://schemas.openxmlformats.org/officeDocument/2006/relationships/hyperlink" Target="https://www.pref.chiba.lg.jp/shippei/press/2019/ncov20200328-4.html" TargetMode="External"/><Relationship Id="rId253" Type="http://schemas.openxmlformats.org/officeDocument/2006/relationships/hyperlink" Target="https://www.pref.chiba.lg.jp/shippei/press/2019/ncov20200328-4.html" TargetMode="External"/><Relationship Id="rId495" Type="http://schemas.openxmlformats.org/officeDocument/2006/relationships/hyperlink" Target="http://www.city.nagoya.jp/kenkofukushi/cmsfiles/contents/0000126/126920/R20309kisya.pdf;https://www.chunichi.co.jp/article/feature/coronavirus/list/CK2020031402000209.html" TargetMode="External"/><Relationship Id="rId252" Type="http://schemas.openxmlformats.org/officeDocument/2006/relationships/hyperlink" Target="https://www.pref.chiba.lg.jp/shippei/press/2019/ncov20200327.html" TargetMode="External"/><Relationship Id="rId494" Type="http://schemas.openxmlformats.org/officeDocument/2006/relationships/hyperlink" Target="http://www.city.nagoya.jp/kenkofukushi/cmsfiles/contents/0000126/126920/R20308kisya.pdf;https://www.chunichi.co.jp/article/feature/coronavirus/list/CK2020031402000209.html" TargetMode="External"/><Relationship Id="rId251" Type="http://schemas.openxmlformats.org/officeDocument/2006/relationships/hyperlink" Target="https://www.pref.chiba.lg.jp/shippei/press/2019/ncov20200327.html" TargetMode="External"/><Relationship Id="rId493" Type="http://schemas.openxmlformats.org/officeDocument/2006/relationships/hyperlink" Target="http://www.city.nagoya.jp/kenkofukushi/cmsfiles/contents/0000126/126920/R20307kisya.pdf;https://www.chunichi.co.jp/article/feature/coronavirus/list/CK2020031402000209.html" TargetMode="External"/><Relationship Id="rId250" Type="http://schemas.openxmlformats.org/officeDocument/2006/relationships/hyperlink" Target="https://www.pref.chiba.lg.jp/shippei/press/2019/ncov20200323.html" TargetMode="External"/><Relationship Id="rId492" Type="http://schemas.openxmlformats.org/officeDocument/2006/relationships/hyperlink" Target="http://www.city.nagoya.jp/kenkofukushi/cmsfiles/contents/0000126/126920/R20316kisyahappyou.pdf;https://www.chunichi.co.jp/article/feature/coronavirus/list/CK2020031402000209.html" TargetMode="External"/><Relationship Id="rId257" Type="http://schemas.openxmlformats.org/officeDocument/2006/relationships/hyperlink" Target="https://www.pref.chiba.lg.jp/shippei/press/2019/ncov20200328-4.html" TargetMode="External"/><Relationship Id="rId499" Type="http://schemas.openxmlformats.org/officeDocument/2006/relationships/hyperlink" Target="http://www.city.nagoya.jp/kenkofukushi/cmsfiles/contents/0000126/126920/R20318kisya.pdf" TargetMode="External"/><Relationship Id="rId256" Type="http://schemas.openxmlformats.org/officeDocument/2006/relationships/hyperlink" Target="https://www.pref.chiba.lg.jp/shippei/press/2019/ncov20200328-4.html" TargetMode="External"/><Relationship Id="rId498" Type="http://schemas.openxmlformats.org/officeDocument/2006/relationships/hyperlink" Target="http://www.city.nagoya.jp/kenkofukushi/cmsfiles/contents/0000126/126920/200314kannzyazyouhou.pdf" TargetMode="External"/><Relationship Id="rId255" Type="http://schemas.openxmlformats.org/officeDocument/2006/relationships/hyperlink" Target="https://www.pref.chiba.lg.jp/shippei/press/2019/ncov20200328-4.html" TargetMode="External"/><Relationship Id="rId497" Type="http://schemas.openxmlformats.org/officeDocument/2006/relationships/hyperlink" Target="http://www.city.nagoya.jp/kenkofukushi/cmsfiles/contents/0000126/126920/200314kannzyazyouhou.pdf" TargetMode="External"/><Relationship Id="rId254" Type="http://schemas.openxmlformats.org/officeDocument/2006/relationships/hyperlink" Target="https://www.pref.chiba.lg.jp/shippei/press/2019/ncov20200328-4.html" TargetMode="External"/><Relationship Id="rId496" Type="http://schemas.openxmlformats.org/officeDocument/2006/relationships/hyperlink" Target="http://www.city.nagoya.jp/kenkofukushi/cmsfiles/contents/0000126/126920/R20310kisya.pdf;https://www.chunichi.co.jp/article/feature/coronavirus/list/CK2020031402000209.html" TargetMode="External"/><Relationship Id="rId293" Type="http://schemas.openxmlformats.org/officeDocument/2006/relationships/hyperlink" Target="http://www.eijuhp.com/news/jyuyo/news_20200325menkai.html" TargetMode="External"/><Relationship Id="rId292" Type="http://schemas.openxmlformats.org/officeDocument/2006/relationships/hyperlink" Target="http://www.eijuhp.com/news/jyuyo/news_20200325menkai.html" TargetMode="External"/><Relationship Id="rId291" Type="http://schemas.openxmlformats.org/officeDocument/2006/relationships/hyperlink" Target="http://www.eijuhp.com/news/jyuyo/news_20200325menkai.html" TargetMode="External"/><Relationship Id="rId290" Type="http://schemas.openxmlformats.org/officeDocument/2006/relationships/hyperlink" Target="http://www.eijuhp.com/news/jyuyo/news_20200325menkai.html" TargetMode="External"/><Relationship Id="rId286" Type="http://schemas.openxmlformats.org/officeDocument/2006/relationships/hyperlink" Target="https://www3.nhk.or.jp/news/html/20200218/k10012290911000.html" TargetMode="External"/><Relationship Id="rId285" Type="http://schemas.openxmlformats.org/officeDocument/2006/relationships/hyperlink" Target="https://www.msn.com/ja-jp/news/national/%E6%9D%B1%E4%BA%AC%E9%83%BD%E5%86%85%E3%81%A7%E6%96%B0%E3%81%9F%E3%81%AB5%E4%BA%BA%E6%84%9F%E6%9F%93%E7%A2%BA%E8%AA%8D-%E6%84%9B%E7%9F%A5%E7%9C%8C%E5%86%85%E3%81%A7%E3%82%82%E3%81%95%E3%82%89%E3%81%AB1%E4%BA%BA/ar-BB103d09" TargetMode="External"/><Relationship Id="rId284" Type="http://schemas.openxmlformats.org/officeDocument/2006/relationships/hyperlink" Target="https://www.pref.chiba.lg.jp/shippei/press/2019/ncov20200329-1.html" TargetMode="External"/><Relationship Id="rId283" Type="http://schemas.openxmlformats.org/officeDocument/2006/relationships/hyperlink" Target="https://www.pref.chiba.lg.jp/shippei/press/2019/ncov20200328-4.html" TargetMode="External"/><Relationship Id="rId289" Type="http://schemas.openxmlformats.org/officeDocument/2006/relationships/hyperlink" Target="http://www.eijuhp.com/news/jyuyo/news_20200325menkai.html" TargetMode="External"/><Relationship Id="rId288" Type="http://schemas.openxmlformats.org/officeDocument/2006/relationships/hyperlink" Target="http://www.eijuhp.com/news/jyuyo/news_20200325menkai.html" TargetMode="External"/><Relationship Id="rId287" Type="http://schemas.openxmlformats.org/officeDocument/2006/relationships/hyperlink" Target="https://www.sanspo.com/geino/news/20200221/sot20022119050016-n1.html" TargetMode="External"/><Relationship Id="rId282" Type="http://schemas.openxmlformats.org/officeDocument/2006/relationships/hyperlink" Target="https://www.pref.chiba.lg.jp/shippei/press/2019/ncov20200328-4.html" TargetMode="External"/><Relationship Id="rId281" Type="http://schemas.openxmlformats.org/officeDocument/2006/relationships/hyperlink" Target="https://www.pref.chiba.lg.jp/shippei/press/2019/ncov20200328-4.html" TargetMode="External"/><Relationship Id="rId280" Type="http://schemas.openxmlformats.org/officeDocument/2006/relationships/hyperlink" Target="https://www.pref.chiba.lg.jp/shippei/press/2019/ncov20200328-4.html" TargetMode="External"/><Relationship Id="rId275" Type="http://schemas.openxmlformats.org/officeDocument/2006/relationships/hyperlink" Target="https://www.pref.chiba.lg.jp/shippei/press/2019/ncov20200328-4.html" TargetMode="External"/><Relationship Id="rId274" Type="http://schemas.openxmlformats.org/officeDocument/2006/relationships/hyperlink" Target="https://www.pref.chiba.lg.jp/shippei/press/2019/ncov20200328-4.html" TargetMode="External"/><Relationship Id="rId273" Type="http://schemas.openxmlformats.org/officeDocument/2006/relationships/hyperlink" Target="https://www.pref.chiba.lg.jp/shippei/press/2019/ncov20200328-4.html" TargetMode="External"/><Relationship Id="rId272" Type="http://schemas.openxmlformats.org/officeDocument/2006/relationships/hyperlink" Target="https://www.pref.chiba.lg.jp/shippei/press/2019/ncov20200328-4.html" TargetMode="External"/><Relationship Id="rId279" Type="http://schemas.openxmlformats.org/officeDocument/2006/relationships/hyperlink" Target="https://www.pref.chiba.lg.jp/shippei/press/2019/ncov20200328-4.html" TargetMode="External"/><Relationship Id="rId278" Type="http://schemas.openxmlformats.org/officeDocument/2006/relationships/hyperlink" Target="https://www.pref.chiba.lg.jp/shippei/press/2019/ncov20200328-4.html" TargetMode="External"/><Relationship Id="rId277" Type="http://schemas.openxmlformats.org/officeDocument/2006/relationships/hyperlink" Target="https://www.pref.chiba.lg.jp/shippei/press/2019/ncov20200328-4.html" TargetMode="External"/><Relationship Id="rId276" Type="http://schemas.openxmlformats.org/officeDocument/2006/relationships/hyperlink" Target="https://www.pref.chiba.lg.jp/shippei/press/2019/ncov20200328-4.html" TargetMode="External"/><Relationship Id="rId907" Type="http://schemas.openxmlformats.org/officeDocument/2006/relationships/hyperlink" Target="https://web.pref.hyogo.lg.jp/kk03/corona_hasseijyokyo.html" TargetMode="External"/><Relationship Id="rId906" Type="http://schemas.openxmlformats.org/officeDocument/2006/relationships/hyperlink" Target="https://web.pref.hyogo.lg.jp/kk03/corona_hasseijyokyo.html;https://www.city.himeji.lg.jp/emergencyinfo/cmsfiles/emergency/179/200312No7.pdf" TargetMode="External"/><Relationship Id="rId905" Type="http://schemas.openxmlformats.org/officeDocument/2006/relationships/hyperlink" Target="https://www.city.himeji.lg.jp/emergencyinfo/cmsfiles/emergency/179/200322hp.pdf;https://web.pref.hyogo.lg.jp/kk03/corona_kanjyajyokyo.html" TargetMode="External"/><Relationship Id="rId904" Type="http://schemas.openxmlformats.org/officeDocument/2006/relationships/hyperlink" Target="https://www.city.amagasaki.hyogo.jp/kurashi/kenko/kansensyo/1020449/1020474.html" TargetMode="External"/><Relationship Id="rId909" Type="http://schemas.openxmlformats.org/officeDocument/2006/relationships/hyperlink" Target="https://web.pref.hyogo.lg.jp/kk03/corona_hasseijyokyo.html" TargetMode="External"/><Relationship Id="rId908" Type="http://schemas.openxmlformats.org/officeDocument/2006/relationships/hyperlink" Target="https://web.pref.hyogo.lg.jp/kk03/corona_hasseijyokyo.html" TargetMode="External"/><Relationship Id="rId903" Type="http://schemas.openxmlformats.org/officeDocument/2006/relationships/hyperlink" Target="https://web.pref.hyogo.lg.jp/kk03/corona_hasseijyokyo53-100.html" TargetMode="External"/><Relationship Id="rId902" Type="http://schemas.openxmlformats.org/officeDocument/2006/relationships/hyperlink" Target="https://web.pref.hyogo.lg.jp/kk03/corona_hasseijyokyo53-100.html" TargetMode="External"/><Relationship Id="rId901" Type="http://schemas.openxmlformats.org/officeDocument/2006/relationships/hyperlink" Target="https://web.pref.hyogo.lg.jp/kk03/corona_hasseijyokyo53-100.html" TargetMode="External"/><Relationship Id="rId900" Type="http://schemas.openxmlformats.org/officeDocument/2006/relationships/hyperlink" Target="https://web.pref.hyogo.lg.jp/kk03/corona_hasseijyokyo53-100.html" TargetMode="External"/><Relationship Id="rId929" Type="http://schemas.openxmlformats.org/officeDocument/2006/relationships/hyperlink" Target="https://web.pref.hyogo.lg.jp/kk03/corona_hasseijyokyo.html;https://web.pref.hyogo.lg.jp/kk03/corona_kanjyajyokyo.html" TargetMode="External"/><Relationship Id="rId928" Type="http://schemas.openxmlformats.org/officeDocument/2006/relationships/hyperlink" Target="https://web.pref.hyogo.lg.jp/kk03/corona_hasseijyokyo.html" TargetMode="External"/><Relationship Id="rId927" Type="http://schemas.openxmlformats.org/officeDocument/2006/relationships/hyperlink" Target="https://web.pref.hyogo.lg.jp/kk03/corona_hasseijyokyo.html;https://www.city.amagasaki.hyogo.jp/kurashi/kenko/kansensyo/1020449/1020430.html" TargetMode="External"/><Relationship Id="rId926" Type="http://schemas.openxmlformats.org/officeDocument/2006/relationships/hyperlink" Target="https://web.pref.hyogo.lg.jp/kk03/corona_hasseijyokyo53-100.html" TargetMode="External"/><Relationship Id="rId921" Type="http://schemas.openxmlformats.org/officeDocument/2006/relationships/hyperlink" Target="https://www.city.amagasaki.hyogo.jp/_res/projects/default_project/_page_/001/020/595/20200403-2.pdf" TargetMode="External"/><Relationship Id="rId920" Type="http://schemas.openxmlformats.org/officeDocument/2006/relationships/hyperlink" Target="https://web.pref.hyogo.lg.jp/kk03/corona_hasseijyokyo.html" TargetMode="External"/><Relationship Id="rId925" Type="http://schemas.openxmlformats.org/officeDocument/2006/relationships/hyperlink" Target="https://web.pref.hyogo.lg.jp/kk03/corona_hasseijyokyo.html" TargetMode="External"/><Relationship Id="rId924" Type="http://schemas.openxmlformats.org/officeDocument/2006/relationships/hyperlink" Target="https://www.nishi.or.jp/kurashi/anshin/infomation/k_00022020111.files/HP7-1.pdf" TargetMode="External"/><Relationship Id="rId923" Type="http://schemas.openxmlformats.org/officeDocument/2006/relationships/hyperlink" Target="https://www.city.amagasaki.hyogo.jp/_res/projects/default_project/_page_/001/020/595/20200403-2.pdf" TargetMode="External"/><Relationship Id="rId922" Type="http://schemas.openxmlformats.org/officeDocument/2006/relationships/hyperlink" Target="https://www.city.amagasaki.hyogo.jp/_res/projects/default_project/_page_/001/020/595/20200403-2.pdf" TargetMode="External"/><Relationship Id="rId918" Type="http://schemas.openxmlformats.org/officeDocument/2006/relationships/hyperlink" Target="https://www.jiji.com/jc/article?k=2020031100489&amp;g=soc" TargetMode="External"/><Relationship Id="rId917" Type="http://schemas.openxmlformats.org/officeDocument/2006/relationships/hyperlink" Target="https://www.jiji.com/jc/article?k=2020031100489&amp;g=soc" TargetMode="External"/><Relationship Id="rId916" Type="http://schemas.openxmlformats.org/officeDocument/2006/relationships/hyperlink" Target="https://www.jiji.com/jc/article?k=2020031100489&amp;g=soc" TargetMode="External"/><Relationship Id="rId915" Type="http://schemas.openxmlformats.org/officeDocument/2006/relationships/hyperlink" Target="https://web.pref.hyogo.lg.jp/kk03/corona_hasseijyokyo.html" TargetMode="External"/><Relationship Id="rId919" Type="http://schemas.openxmlformats.org/officeDocument/2006/relationships/hyperlink" Target="https://www.jiji.com/jc/article?k=2020031100489&amp;g=soc" TargetMode="External"/><Relationship Id="rId910" Type="http://schemas.openxmlformats.org/officeDocument/2006/relationships/hyperlink" Target="https://web.pref.hyogo.lg.jp/kk03/corona_hasseijyokyo.html;https://www.city.himeji.lg.jp/emergencyinfo/cmsfiles/emergency/179/2003128-11.pdf" TargetMode="External"/><Relationship Id="rId914" Type="http://schemas.openxmlformats.org/officeDocument/2006/relationships/hyperlink" Target="https://web.pref.hyogo.lg.jp/kk03/corona_hasseijyokyo.html" TargetMode="External"/><Relationship Id="rId913" Type="http://schemas.openxmlformats.org/officeDocument/2006/relationships/hyperlink" Target="https://www.city.himeji.lg.jp/emergencyinfo/cmsfiles/emergency/179/200320HP.pdf" TargetMode="External"/><Relationship Id="rId912" Type="http://schemas.openxmlformats.org/officeDocument/2006/relationships/hyperlink" Target="https://www.city.himeji.lg.jp/emergencyinfo/cmsfiles/emergency/179/200320HP.pdf" TargetMode="External"/><Relationship Id="rId911" Type="http://schemas.openxmlformats.org/officeDocument/2006/relationships/hyperlink" Target="https://www.city.himeji.lg.jp/emergencyinfo/cmsfiles/emergency/179/200319.pdf" TargetMode="External"/><Relationship Id="rId1213" Type="http://schemas.openxmlformats.org/officeDocument/2006/relationships/hyperlink" Target="https://www.pref.fukui.lg.jp/doc/kenkou/kansensyo-yobousessyu/corona_d/fil/200409.pdf" TargetMode="External"/><Relationship Id="rId1214" Type="http://schemas.openxmlformats.org/officeDocument/2006/relationships/hyperlink" Target="https://www.pref.fukui.lg.jp/doc/kenkou/kansensyo-yobousessyu/corona_d/fil/200406-2.pdf;https://www.chunichi.co.jp/article/fukui/20200407/CK2020040702000043.html" TargetMode="External"/><Relationship Id="rId1215" Type="http://schemas.openxmlformats.org/officeDocument/2006/relationships/hyperlink" Target="https://www.pref.fukui.lg.jp/doc/kenkou/kansensyo-yobousessyu/corona_d/fil/200409.pdf;https://www.pref.fukui.lg.jp/doc/kenkou/kansensyo-yobousessyu/corona_d/fil/200406-2.pdf" TargetMode="External"/><Relationship Id="rId1216" Type="http://schemas.openxmlformats.org/officeDocument/2006/relationships/hyperlink" Target="https://www.pref.fukui.lg.jp/doc/kenkou/kansensyo-yobousessyu/corona_d/fil/200409.pdf" TargetMode="External"/><Relationship Id="rId1217" Type="http://schemas.openxmlformats.org/officeDocument/2006/relationships/hyperlink" Target="https://www.pref.fukui.lg.jp/doc/kenkou/kansensyo-yobousessyu/corona_d/fil/200409.pdf" TargetMode="External"/><Relationship Id="rId1218" Type="http://schemas.openxmlformats.org/officeDocument/2006/relationships/hyperlink" Target="https://www.pref.fukui.lg.jp/doc/kenkou/kansensyo-yobousessyu/corona_d/fil/200408.pdf" TargetMode="External"/><Relationship Id="rId1219" Type="http://schemas.openxmlformats.org/officeDocument/2006/relationships/hyperlink" Target="https://www.pref.fukui.lg.jp/doc/kenkou/kansensyo-yobousessyu/corona_d/fil/200407.pdf" TargetMode="External"/><Relationship Id="rId629" Type="http://schemas.openxmlformats.org/officeDocument/2006/relationships/hyperlink" Target="http://www.pref.osaka.lg.jp/hodo/attach/hodo-37913_4.pdf" TargetMode="External"/><Relationship Id="rId624" Type="http://schemas.openxmlformats.org/officeDocument/2006/relationships/hyperlink" Target="http://www.pref.osaka.lg.jp/hodo/attach/hodo-37645_5.pdf" TargetMode="External"/><Relationship Id="rId866" Type="http://schemas.openxmlformats.org/officeDocument/2006/relationships/hyperlink" Target="http://www.pref.osaka.lg.jp/hodo/attach/hodo-37758_4.pdf" TargetMode="External"/><Relationship Id="rId623" Type="http://schemas.openxmlformats.org/officeDocument/2006/relationships/hyperlink" Target="http://www.pref.osaka.lg.jp/hodo/attach/hodo-37633_5.pdf" TargetMode="External"/><Relationship Id="rId865" Type="http://schemas.openxmlformats.org/officeDocument/2006/relationships/hyperlink" Target="http://www.pref.osaka.lg.jp/hodo/attach/hodo-37735_4.pdf" TargetMode="External"/><Relationship Id="rId622" Type="http://schemas.openxmlformats.org/officeDocument/2006/relationships/hyperlink" Target="http://www.pref.osaka.lg.jp/hodo/attach/hodo-37907_4.pdf" TargetMode="External"/><Relationship Id="rId864" Type="http://schemas.openxmlformats.org/officeDocument/2006/relationships/hyperlink" Target="http://www.pref.osaka.lg.jp/hodo/attach/hodo-37733_4.pdf" TargetMode="External"/><Relationship Id="rId621" Type="http://schemas.openxmlformats.org/officeDocument/2006/relationships/hyperlink" Target="http://www.pref.osaka.lg.jp/hodo/attach/hodo-37902_4.pdf" TargetMode="External"/><Relationship Id="rId863" Type="http://schemas.openxmlformats.org/officeDocument/2006/relationships/hyperlink" Target="https://www.mhlw.go.jp/content/10906000/000607874.pdf" TargetMode="External"/><Relationship Id="rId628" Type="http://schemas.openxmlformats.org/officeDocument/2006/relationships/hyperlink" Target="http://www.pref.osaka.lg.jp/hodo/attach/hodo-37913_4.pdf" TargetMode="External"/><Relationship Id="rId627" Type="http://schemas.openxmlformats.org/officeDocument/2006/relationships/hyperlink" Target="http://www.pref.osaka.lg.jp/hodo/attach/hodo-37913_4.pdf" TargetMode="External"/><Relationship Id="rId869" Type="http://schemas.openxmlformats.org/officeDocument/2006/relationships/hyperlink" Target="http://www.pref.osaka.lg.jp/hodo/attach/hodo-37747_4.pdf" TargetMode="External"/><Relationship Id="rId626" Type="http://schemas.openxmlformats.org/officeDocument/2006/relationships/hyperlink" Target="http://www.pref.osaka.lg.jp/hodo/attach/hodo-37680_5.pdf" TargetMode="External"/><Relationship Id="rId868" Type="http://schemas.openxmlformats.org/officeDocument/2006/relationships/hyperlink" Target="http://www.pref.osaka.lg.jp/hodo/attach/hodo-37735_4.pdf" TargetMode="External"/><Relationship Id="rId625" Type="http://schemas.openxmlformats.org/officeDocument/2006/relationships/hyperlink" Target="http://www.pref.osaka.lg.jp/hodo/attach/hodo-37680_5.pdf" TargetMode="External"/><Relationship Id="rId867" Type="http://schemas.openxmlformats.org/officeDocument/2006/relationships/hyperlink" Target="http://www.pref.osaka.lg.jp/hodo/attach/hodo-37779_4.pdf" TargetMode="External"/><Relationship Id="rId620" Type="http://schemas.openxmlformats.org/officeDocument/2006/relationships/hyperlink" Target="http://www.pref.osaka.lg.jp/hodo/attach/hodo-37890_4.pdf" TargetMode="External"/><Relationship Id="rId862" Type="http://schemas.openxmlformats.org/officeDocument/2006/relationships/hyperlink" Target="http://www.pref.osaka.lg.jp/hodo/attach/hodo-37694_4.pdf" TargetMode="External"/><Relationship Id="rId861" Type="http://schemas.openxmlformats.org/officeDocument/2006/relationships/hyperlink" Target="http://www.pref.osaka.lg.jp/hodo/attach/hodo-37694_4.pdf" TargetMode="External"/><Relationship Id="rId1210" Type="http://schemas.openxmlformats.org/officeDocument/2006/relationships/hyperlink" Target="https://www.pref.fukui.lg.jp/doc/kenkou/kansensyo-yobousessyu/corona_d/fil/200406-2.pdf" TargetMode="External"/><Relationship Id="rId860" Type="http://schemas.openxmlformats.org/officeDocument/2006/relationships/hyperlink" Target="http://www.pref.osaka.lg.jp/hodo/attach/hodo-37694_4.pdf" TargetMode="External"/><Relationship Id="rId1211" Type="http://schemas.openxmlformats.org/officeDocument/2006/relationships/hyperlink" Target="https://www.chunichi.co.jp/article/fukui/20200407/CK2020040702000043.html" TargetMode="External"/><Relationship Id="rId1212" Type="http://schemas.openxmlformats.org/officeDocument/2006/relationships/hyperlink" Target="https://www.chunichi.co.jp/article/fukui/20200407/CK2020040702000043.html" TargetMode="External"/><Relationship Id="rId1202" Type="http://schemas.openxmlformats.org/officeDocument/2006/relationships/hyperlink" Target="https://www.pref.fukui.lg.jp/doc/kenkou/kansensyo-yobousessyu/corona_d/fil/200409.pdf" TargetMode="External"/><Relationship Id="rId1203" Type="http://schemas.openxmlformats.org/officeDocument/2006/relationships/hyperlink" Target="https://www.pref.fukui.lg.jp/doc/kenkou/kansensyo-yobousessyu/corona_d/fil/200409.pdf" TargetMode="External"/><Relationship Id="rId1204" Type="http://schemas.openxmlformats.org/officeDocument/2006/relationships/hyperlink" Target="https://www.pref.fukui.lg.jp/doc/kenkou/kansensyo-yobousessyu/corona_d/fil/200409.pdf" TargetMode="External"/><Relationship Id="rId1205" Type="http://schemas.openxmlformats.org/officeDocument/2006/relationships/hyperlink" Target="https://www.pref.fukui.lg.jp/doc/kenkou/kansensyo-yobousessyu/corona_d/fil/200403.pdf;https://www.chunichi.co.jp/article/fukui/20200407/CK2020040702000043.html" TargetMode="External"/><Relationship Id="rId1206" Type="http://schemas.openxmlformats.org/officeDocument/2006/relationships/hyperlink" Target="https://www.pref.fukui.lg.jp/doc/kenkou/kansensyo-yobousessyu/corona_d/fil/200331-1.pdf" TargetMode="External"/><Relationship Id="rId1207" Type="http://schemas.openxmlformats.org/officeDocument/2006/relationships/hyperlink" Target="https://www.pref.fukui.lg.jp/doc/kenkou/kansensyo-yobousessyu/corona_d/fil/200406-2.pdf" TargetMode="External"/><Relationship Id="rId1208" Type="http://schemas.openxmlformats.org/officeDocument/2006/relationships/hyperlink" Target="https://www.pref.fukui.lg.jp/doc/kenkou/kansensyo-yobousessyu/corona_d/fil/200403.pdf" TargetMode="External"/><Relationship Id="rId1209" Type="http://schemas.openxmlformats.org/officeDocument/2006/relationships/hyperlink" Target="https://www.pref.fukui.lg.jp/doc/kenkou/kansensyo-yobousessyu/corona_d/fil/200404.pdf" TargetMode="External"/><Relationship Id="rId619" Type="http://schemas.openxmlformats.org/officeDocument/2006/relationships/hyperlink" Target="http://www.pref.osaka.lg.jp/hodo/attach/hodo-37890_4.pdf" TargetMode="External"/><Relationship Id="rId618" Type="http://schemas.openxmlformats.org/officeDocument/2006/relationships/hyperlink" Target="http://www.pref.osaka.lg.jp/hodo/attach/hodo-37890_4.pdf" TargetMode="External"/><Relationship Id="rId613" Type="http://schemas.openxmlformats.org/officeDocument/2006/relationships/hyperlink" Target="http://www.pref.osaka.lg.jp/hodo/attach/hodo-37913_4.pdf" TargetMode="External"/><Relationship Id="rId855" Type="http://schemas.openxmlformats.org/officeDocument/2006/relationships/hyperlink" Target="http://www.pref.osaka.lg.jp/hodo/attach/hodo-37680_5.pdf" TargetMode="External"/><Relationship Id="rId612" Type="http://schemas.openxmlformats.org/officeDocument/2006/relationships/hyperlink" Target="http://www.pref.osaka.lg.jp/hodo/attach/hodo-37913_4.pdf" TargetMode="External"/><Relationship Id="rId854" Type="http://schemas.openxmlformats.org/officeDocument/2006/relationships/hyperlink" Target="http://www.pref.osaka.lg.jp/hodo/attach/hodo-37680_5.pdf" TargetMode="External"/><Relationship Id="rId611" Type="http://schemas.openxmlformats.org/officeDocument/2006/relationships/hyperlink" Target="http://www.pref.osaka.lg.jp/hodo/attach/hodo-37913_4.pdf" TargetMode="External"/><Relationship Id="rId853" Type="http://schemas.openxmlformats.org/officeDocument/2006/relationships/hyperlink" Target="https://www.mhlw.go.jp/content/10906000/000607874.pdf" TargetMode="External"/><Relationship Id="rId610" Type="http://schemas.openxmlformats.org/officeDocument/2006/relationships/hyperlink" Target="http://www.pref.osaka.lg.jp/hodo/attach/hodo-37913_4.pdf" TargetMode="External"/><Relationship Id="rId852" Type="http://schemas.openxmlformats.org/officeDocument/2006/relationships/hyperlink" Target="http://www.pref.osaka.lg.jp/hodo/attach/hodo-37758_4.pdf" TargetMode="External"/><Relationship Id="rId617" Type="http://schemas.openxmlformats.org/officeDocument/2006/relationships/hyperlink" Target="http://www.pref.osaka.lg.jp/hodo/attach/hodo-37913_4.pdf" TargetMode="External"/><Relationship Id="rId859" Type="http://schemas.openxmlformats.org/officeDocument/2006/relationships/hyperlink" Target="http://www.pref.osaka.lg.jp/hodo/attach/hodo-37633_5.pdf" TargetMode="External"/><Relationship Id="rId616" Type="http://schemas.openxmlformats.org/officeDocument/2006/relationships/hyperlink" Target="http://www.pref.osaka.lg.jp/hodo/attach/hodo-37913_4.pdf" TargetMode="External"/><Relationship Id="rId858" Type="http://schemas.openxmlformats.org/officeDocument/2006/relationships/hyperlink" Target="https://www.mhlw.go.jp/content/10906000/000607874.pdf" TargetMode="External"/><Relationship Id="rId615" Type="http://schemas.openxmlformats.org/officeDocument/2006/relationships/hyperlink" Target="http://www.pref.osaka.lg.jp/hodo/attach/hodo-37913_4.pdf" TargetMode="External"/><Relationship Id="rId857" Type="http://schemas.openxmlformats.org/officeDocument/2006/relationships/hyperlink" Target="https://www.mhlw.go.jp/content/10906000/000607874.pdf" TargetMode="External"/><Relationship Id="rId614" Type="http://schemas.openxmlformats.org/officeDocument/2006/relationships/hyperlink" Target="http://www.pref.osaka.lg.jp/hodo/attach/hodo-37913_4.pdf" TargetMode="External"/><Relationship Id="rId856" Type="http://schemas.openxmlformats.org/officeDocument/2006/relationships/hyperlink" Target="http://www.pref.osaka.lg.jp/hodo/attach/hodo-37680_5.pdf" TargetMode="External"/><Relationship Id="rId851" Type="http://schemas.openxmlformats.org/officeDocument/2006/relationships/hyperlink" Target="https://www.mhlw.go.jp/content/10906000/000607874.pdf" TargetMode="External"/><Relationship Id="rId850" Type="http://schemas.openxmlformats.org/officeDocument/2006/relationships/hyperlink" Target="http://www.pref.osaka.lg.jp/hodo/attach/hodo-37680_5.pdf" TargetMode="External"/><Relationship Id="rId1200" Type="http://schemas.openxmlformats.org/officeDocument/2006/relationships/hyperlink" Target="https://www.pref.fukui.lg.jp/doc/kenkou/kansensyo-yobousessyu/corona_d/fil/200330-1.pdf" TargetMode="External"/><Relationship Id="rId1201" Type="http://schemas.openxmlformats.org/officeDocument/2006/relationships/hyperlink" Target="https://www.pref.fukui.lg.jp/doc/kenkou/kansensyo-yobousessyu/corona_d/fil/200409.pdf" TargetMode="External"/><Relationship Id="rId1235" Type="http://schemas.openxmlformats.org/officeDocument/2006/relationships/hyperlink" Target="https://www.pref.fukui.lg.jp/doc/kenkou/kansensyo-yobousessyu/corona_d/fil/200405-1.pdf" TargetMode="External"/><Relationship Id="rId1236" Type="http://schemas.openxmlformats.org/officeDocument/2006/relationships/hyperlink" Target="https://www.pref.fukui.lg.jp/doc/kenkou/kansensyo-yobousessyu/corona_d/fil/200406-2.pdf" TargetMode="External"/><Relationship Id="rId1237" Type="http://schemas.openxmlformats.org/officeDocument/2006/relationships/hyperlink" Target="https://www.pref.fukui.lg.jp/doc/kenkou/kansensyo-yobousessyu/corona_d/fil/200408.pdf" TargetMode="External"/><Relationship Id="rId1238" Type="http://schemas.openxmlformats.org/officeDocument/2006/relationships/hyperlink" Target="https://www.pref.fukui.lg.jp/doc/kenkou/kansensyo-yobousessyu/corona_d/fil/200406-2.pdf" TargetMode="External"/><Relationship Id="rId1239" Type="http://schemas.openxmlformats.org/officeDocument/2006/relationships/hyperlink" Target="https://www.pref.fukui.lg.jp/doc/kenkou/kansensyo-yobousessyu/corona_d/fil/200408.pdf" TargetMode="External"/><Relationship Id="rId409" Type="http://schemas.openxmlformats.org/officeDocument/2006/relationships/hyperlink" Target="http://www.city.nagoya.jp/kenkofukushi/cmsfiles/contents/0000126/126920/200314kannzyazyouhou.pdf;http://www.chubuh.johas.go.jp/information/detail/info_detail__814.html" TargetMode="External"/><Relationship Id="rId404" Type="http://schemas.openxmlformats.org/officeDocument/2006/relationships/hyperlink" Target="https://www.city.shizuoka.lg.jp/000849502.pdf" TargetMode="External"/><Relationship Id="rId646" Type="http://schemas.openxmlformats.org/officeDocument/2006/relationships/hyperlink" Target="http://www.pref.osaka.lg.jp/hodo/attach/hodo-37890_4.pdf" TargetMode="External"/><Relationship Id="rId888" Type="http://schemas.openxmlformats.org/officeDocument/2006/relationships/hyperlink" Target="https://web.pref.hyogo.lg.jp/kk03/corona_hasseijyokyo.html" TargetMode="External"/><Relationship Id="rId403" Type="http://schemas.openxmlformats.org/officeDocument/2006/relationships/hyperlink" Target="https://www.city.shizuoka.lg.jp/000847581.pdf;http://www.pref.shizuoka.jp/kousei/ko-420a/kansen/documents/01doukou.pdf" TargetMode="External"/><Relationship Id="rId645" Type="http://schemas.openxmlformats.org/officeDocument/2006/relationships/hyperlink" Target="http://www.pref.osaka.lg.jp/hodo/attach/hodo-37890_4.pdf" TargetMode="External"/><Relationship Id="rId887" Type="http://schemas.openxmlformats.org/officeDocument/2006/relationships/hyperlink" Target="https://web.pref.hyogo.lg.jp/kk03/corona_hasseijyokyo.html;https://www.city.amagasaki.hyogo.jp/kurashi/kenko/kansensyo/1020449/1020430.html" TargetMode="External"/><Relationship Id="rId402" Type="http://schemas.openxmlformats.org/officeDocument/2006/relationships/hyperlink" Target="https://www.city.gifu.lg.jp/secure/44927/kansen3_s.pdf" TargetMode="External"/><Relationship Id="rId644" Type="http://schemas.openxmlformats.org/officeDocument/2006/relationships/hyperlink" Target="http://www.pref.osaka.lg.jp/hodo/attach/hodo-37890_4.pdf" TargetMode="External"/><Relationship Id="rId886" Type="http://schemas.openxmlformats.org/officeDocument/2006/relationships/hyperlink" Target="https://web.pref.hyogo.lg.jp/kk03/corona_hasseijyokyo.html" TargetMode="External"/><Relationship Id="rId401" Type="http://schemas.openxmlformats.org/officeDocument/2006/relationships/hyperlink" Target="https://www.pref.gifu.lg.jp/kinkyu-juyo-joho/shingata_corona.data/0326_kanjya_kisyasiryou.pdf" TargetMode="External"/><Relationship Id="rId643" Type="http://schemas.openxmlformats.org/officeDocument/2006/relationships/hyperlink" Target="http://www.pref.osaka.lg.jp/hodo/attach/hodo-37913_4.pdf" TargetMode="External"/><Relationship Id="rId885" Type="http://schemas.openxmlformats.org/officeDocument/2006/relationships/hyperlink" Target="https://web.pref.hyogo.lg.jp/kk03/corona_hasseijyokyo.html" TargetMode="External"/><Relationship Id="rId408" Type="http://schemas.openxmlformats.org/officeDocument/2006/relationships/hyperlink" Target="http://www.city.nagoya.jp/kenkofukushi/cmsfiles/contents/0000126/126920/200320kisya.pdf" TargetMode="External"/><Relationship Id="rId407" Type="http://schemas.openxmlformats.org/officeDocument/2006/relationships/hyperlink" Target="https://www.city.gamagori.lg.jp/unit/hoken/covid-19press.html" TargetMode="External"/><Relationship Id="rId649" Type="http://schemas.openxmlformats.org/officeDocument/2006/relationships/hyperlink" Target="http://www.pref.osaka.lg.jp/hodo/attach/hodo-37902_4.pdf" TargetMode="External"/><Relationship Id="rId406" Type="http://schemas.openxmlformats.org/officeDocument/2006/relationships/hyperlink" Target="https://www.city.shizuoka.lg.jp/000849502.pdf" TargetMode="External"/><Relationship Id="rId648" Type="http://schemas.openxmlformats.org/officeDocument/2006/relationships/hyperlink" Target="http://www.pref.osaka.lg.jp/hodo/attach/hodo-37902_4.pdf" TargetMode="External"/><Relationship Id="rId405" Type="http://schemas.openxmlformats.org/officeDocument/2006/relationships/hyperlink" Target="https://www.city.shizuoka.lg.jp/000849502.pdf" TargetMode="External"/><Relationship Id="rId647" Type="http://schemas.openxmlformats.org/officeDocument/2006/relationships/hyperlink" Target="http://www.pref.osaka.lg.jp/hodo/attach/hodo-37900_4.pdf" TargetMode="External"/><Relationship Id="rId889" Type="http://schemas.openxmlformats.org/officeDocument/2006/relationships/hyperlink" Target="https://web.pref.hyogo.lg.jp/kk03/corona_hasseijyokyo.html" TargetMode="External"/><Relationship Id="rId880" Type="http://schemas.openxmlformats.org/officeDocument/2006/relationships/hyperlink" Target="https://web.pref.hyogo.lg.jp/kk03/corona_hasseijyokyo.html;https://www.nishi.or.jp/kurashi/anshin/infomation/k_00022020111.files/HP5-2.pdf" TargetMode="External"/><Relationship Id="rId1230" Type="http://schemas.openxmlformats.org/officeDocument/2006/relationships/hyperlink" Target="https://www.pref.fukui.lg.jp/doc/kenkou/kansensyo-yobousessyu/corona_d/fil/200404.pdf;https://www.chunichi.co.jp/article/fukui/20200407/CK2020040702000043.html" TargetMode="External"/><Relationship Id="rId400" Type="http://schemas.openxmlformats.org/officeDocument/2006/relationships/hyperlink" Target="https://www.pref.gifu.lg.jp/kinkyu-juyo-joho/shingata_corona.data/0326_kanjya_kisyasiryou.pdf" TargetMode="External"/><Relationship Id="rId642" Type="http://schemas.openxmlformats.org/officeDocument/2006/relationships/hyperlink" Target="http://www.pref.osaka.lg.jp/hodo/attach/hodo-37913_4.pdf" TargetMode="External"/><Relationship Id="rId884" Type="http://schemas.openxmlformats.org/officeDocument/2006/relationships/hyperlink" Target="https://web.pref.hyogo.lg.jp/kk03/corona_hasseijyokyo.html" TargetMode="External"/><Relationship Id="rId1231" Type="http://schemas.openxmlformats.org/officeDocument/2006/relationships/hyperlink" Target="https://www.pref.fukui.lg.jp/doc/kenkou/kansensyo-yobousessyu/corona_d/fil/200405-1.pdf;https://www.chunichi.co.jp/article/fukui/20200407/CK2020040702000043.html" TargetMode="External"/><Relationship Id="rId641" Type="http://schemas.openxmlformats.org/officeDocument/2006/relationships/hyperlink" Target="http://www.pref.osaka.lg.jp/hodo/attach/hodo-37913_4.pdf" TargetMode="External"/><Relationship Id="rId883" Type="http://schemas.openxmlformats.org/officeDocument/2006/relationships/hyperlink" Target="https://web.pref.hyogo.lg.jp/kk03/corona_hasseijyokyo.html" TargetMode="External"/><Relationship Id="rId1232" Type="http://schemas.openxmlformats.org/officeDocument/2006/relationships/hyperlink" Target="https://www.chunichi.co.jp/article/fukui/20200407/CK2020040702000043.html" TargetMode="External"/><Relationship Id="rId640" Type="http://schemas.openxmlformats.org/officeDocument/2006/relationships/hyperlink" Target="http://www.pref.osaka.lg.jp/hodo/attach/hodo-37913_4.pdf" TargetMode="External"/><Relationship Id="rId882" Type="http://schemas.openxmlformats.org/officeDocument/2006/relationships/hyperlink" Target="https://web.pref.hyogo.lg.jp/kk03/corona_hasseijyokyo.html" TargetMode="External"/><Relationship Id="rId1233" Type="http://schemas.openxmlformats.org/officeDocument/2006/relationships/hyperlink" Target="https://www.pref.fukui.lg.jp/doc/kenkou/kansensyo-yobousessyu/corona_d/fil/200407.pdf" TargetMode="External"/><Relationship Id="rId881" Type="http://schemas.openxmlformats.org/officeDocument/2006/relationships/hyperlink" Target="https://web.pref.hyogo.lg.jp/kk03/corona_hasseijyokyo.html" TargetMode="External"/><Relationship Id="rId1234" Type="http://schemas.openxmlformats.org/officeDocument/2006/relationships/hyperlink" Target="https://www.pref.fukui.lg.jp/doc/kenkou/kansensyo-yobousessyu/corona_d/fil/200408.pdf" TargetMode="External"/><Relationship Id="rId1224" Type="http://schemas.openxmlformats.org/officeDocument/2006/relationships/hyperlink" Target="https://www.pref.fukui.lg.jp/doc/kenkou/kansensyo-yobousessyu/corona_d/fil/200406-2.pdf;https://www.chunichi.co.jp/article/fukui/20200407/CK2020040702000043.html" TargetMode="External"/><Relationship Id="rId1225" Type="http://schemas.openxmlformats.org/officeDocument/2006/relationships/hyperlink" Target="https://www.pref.fukui.lg.jp/doc/kenkou/kansensyo-yobousessyu/corona_d/fil/200407.pdf" TargetMode="External"/><Relationship Id="rId1226" Type="http://schemas.openxmlformats.org/officeDocument/2006/relationships/hyperlink" Target="https://www.pref.fukui.lg.jp/doc/kenkou/kansensyo-yobousessyu/corona_d/fil/200402-1.pdf" TargetMode="External"/><Relationship Id="rId1227" Type="http://schemas.openxmlformats.org/officeDocument/2006/relationships/hyperlink" Target="https://www.chunichi.co.jp/article/fukui/20200407/CK2020040702000043.html" TargetMode="External"/><Relationship Id="rId1228" Type="http://schemas.openxmlformats.org/officeDocument/2006/relationships/hyperlink" Target="https://www.pref.fukui.lg.jp/doc/kenkou/kansensyo-yobousessyu/corona_d/fil/200403-1.pdf;https://www.chunichi.co.jp/article/fukui/20200407/CK2020040702000043.html" TargetMode="External"/><Relationship Id="rId1229" Type="http://schemas.openxmlformats.org/officeDocument/2006/relationships/hyperlink" Target="https://www.pref.fukui.lg.jp/doc/kenkou/kansensyo-yobousessyu/corona_d/fil/200403-1.pdf" TargetMode="External"/><Relationship Id="rId635" Type="http://schemas.openxmlformats.org/officeDocument/2006/relationships/hyperlink" Target="http://www.pref.osaka.lg.jp/hodo/attach/hodo-37913_4.pdf" TargetMode="External"/><Relationship Id="rId877" Type="http://schemas.openxmlformats.org/officeDocument/2006/relationships/hyperlink" Target="https://web.pref.hyogo.lg.jp/kk03/corona_hasseijyokyo.html;https://www.nishi.or.jp/kurashi/anshin/infomation/k_00022020111.files/HP4-2.pdf;http://www.ryokushinkai.jp/" TargetMode="External"/><Relationship Id="rId634" Type="http://schemas.openxmlformats.org/officeDocument/2006/relationships/hyperlink" Target="http://www.pref.osaka.lg.jp/hodo/attach/hodo-37913_4.pdf" TargetMode="External"/><Relationship Id="rId876" Type="http://schemas.openxmlformats.org/officeDocument/2006/relationships/hyperlink" Target="https://web.pref.hyogo.lg.jp/kk03/corona_hasseijyokyo.html" TargetMode="External"/><Relationship Id="rId633" Type="http://schemas.openxmlformats.org/officeDocument/2006/relationships/hyperlink" Target="http://www.pref.osaka.lg.jp/hodo/attach/hodo-37913_4.pdf" TargetMode="External"/><Relationship Id="rId875" Type="http://schemas.openxmlformats.org/officeDocument/2006/relationships/hyperlink" Target="https://web.pref.hyogo.lg.jp/kk03/corona_hasseijyokyo.html" TargetMode="External"/><Relationship Id="rId632" Type="http://schemas.openxmlformats.org/officeDocument/2006/relationships/hyperlink" Target="http://www.pref.osaka.lg.jp/hodo/attach/hodo-37913_4.pdf" TargetMode="External"/><Relationship Id="rId874" Type="http://schemas.openxmlformats.org/officeDocument/2006/relationships/hyperlink" Target="https://web.pref.hyogo.lg.jp/kk03/corona_hasseijyokyo.html" TargetMode="External"/><Relationship Id="rId639" Type="http://schemas.openxmlformats.org/officeDocument/2006/relationships/hyperlink" Target="http://www.pref.osaka.lg.jp/hodo/attach/hodo-37913_4.pdf" TargetMode="External"/><Relationship Id="rId638" Type="http://schemas.openxmlformats.org/officeDocument/2006/relationships/hyperlink" Target="http://www.pref.osaka.lg.jp/hodo/attach/hodo-37913_4.pdf" TargetMode="External"/><Relationship Id="rId637" Type="http://schemas.openxmlformats.org/officeDocument/2006/relationships/hyperlink" Target="http://www.pref.osaka.lg.jp/hodo/attach/hodo-37913_4.pdf" TargetMode="External"/><Relationship Id="rId879" Type="http://schemas.openxmlformats.org/officeDocument/2006/relationships/hyperlink" Target="https://web.pref.hyogo.lg.jp/kk03/corona_hasseijyokyo.html;https://www.city.amagasaki.hyogo.jp/kurashi/kenko/kansensyo/1020449/1020424.html" TargetMode="External"/><Relationship Id="rId636" Type="http://schemas.openxmlformats.org/officeDocument/2006/relationships/hyperlink" Target="http://www.pref.osaka.lg.jp/hodo/attach/hodo-37913_4.pdf" TargetMode="External"/><Relationship Id="rId878" Type="http://schemas.openxmlformats.org/officeDocument/2006/relationships/hyperlink" Target="https://web.pref.hyogo.lg.jp/kk03/corona_hasseijyokyo.html;https://www.city.amagasaki.hyogo.jp/kurashi/kenko/kansensyo/1020449/1020423.html" TargetMode="External"/><Relationship Id="rId631" Type="http://schemas.openxmlformats.org/officeDocument/2006/relationships/hyperlink" Target="http://www.pref.osaka.lg.jp/hodo/attach/hodo-37913_4.pdf" TargetMode="External"/><Relationship Id="rId873" Type="http://schemas.openxmlformats.org/officeDocument/2006/relationships/hyperlink" Target="https://web.pref.hyogo.lg.jp/kk03/corona_hasseijyokyo.html" TargetMode="External"/><Relationship Id="rId1220" Type="http://schemas.openxmlformats.org/officeDocument/2006/relationships/hyperlink" Target="https://www.pref.fukui.lg.jp/doc/kenkou/kansensyo-yobousessyu/corona_d/fil/200403.pdf" TargetMode="External"/><Relationship Id="rId630" Type="http://schemas.openxmlformats.org/officeDocument/2006/relationships/hyperlink" Target="http://www.pref.osaka.lg.jp/hodo/attach/hodo-37913_4.pdf" TargetMode="External"/><Relationship Id="rId872" Type="http://schemas.openxmlformats.org/officeDocument/2006/relationships/hyperlink" Target="https://web.pref.hyogo.lg.jp/kk03/corona_hasseijyokyo.html" TargetMode="External"/><Relationship Id="rId1221" Type="http://schemas.openxmlformats.org/officeDocument/2006/relationships/hyperlink" Target="https://www.chunichi.co.jp/article/fukui/20200407/CK2020040702000043.html" TargetMode="External"/><Relationship Id="rId871" Type="http://schemas.openxmlformats.org/officeDocument/2006/relationships/hyperlink" Target="https://web.pref.hyogo.lg.jp/kk03/corona_hasseijyokyo53-100.html" TargetMode="External"/><Relationship Id="rId1222" Type="http://schemas.openxmlformats.org/officeDocument/2006/relationships/hyperlink" Target="https://www.pref.fukui.lg.jp/doc/kenkou/kansensyo-yobousessyu/corona_d/fil/200403-1.pdf" TargetMode="External"/><Relationship Id="rId870" Type="http://schemas.openxmlformats.org/officeDocument/2006/relationships/hyperlink" Target="http://www.pref.osaka.lg.jp/hodo/attach/hodo-37758_4.pdf" TargetMode="External"/><Relationship Id="rId1223" Type="http://schemas.openxmlformats.org/officeDocument/2006/relationships/hyperlink" Target="https://www.pref.fukui.lg.jp/doc/kenkou/kansensyo-yobousessyu/corona_d/fil/200408.pdf" TargetMode="External"/><Relationship Id="rId829" Type="http://schemas.openxmlformats.org/officeDocument/2006/relationships/hyperlink" Target="http://www.pref.osaka.lg.jp/hodo/attach/hodo-37656_5.pdf" TargetMode="External"/><Relationship Id="rId828" Type="http://schemas.openxmlformats.org/officeDocument/2006/relationships/hyperlink" Target="http://www.pref.osaka.lg.jp/hodo/attach/hodo-37656_5.pdf" TargetMode="External"/><Relationship Id="rId827" Type="http://schemas.openxmlformats.org/officeDocument/2006/relationships/hyperlink" Target="http://www.pref.osaka.lg.jp/hodo/attach/hodo-37656_5.pdf" TargetMode="External"/><Relationship Id="rId822" Type="http://schemas.openxmlformats.org/officeDocument/2006/relationships/hyperlink" Target="http://www.pref.osaka.lg.jp/hodo/attach/hodo-37656_5.pdf" TargetMode="External"/><Relationship Id="rId821" Type="http://schemas.openxmlformats.org/officeDocument/2006/relationships/hyperlink" Target="http://www.pref.osaka.lg.jp/hodo/attach/hodo-37656_5.pdf" TargetMode="External"/><Relationship Id="rId820" Type="http://schemas.openxmlformats.org/officeDocument/2006/relationships/hyperlink" Target="http://www.pref.osaka.lg.jp/hodo/attach/hodo-37645_5.pdf" TargetMode="External"/><Relationship Id="rId826" Type="http://schemas.openxmlformats.org/officeDocument/2006/relationships/hyperlink" Target="http://www.pref.osaka.lg.jp/hodo/attach/hodo-37656_5.pdf" TargetMode="External"/><Relationship Id="rId825" Type="http://schemas.openxmlformats.org/officeDocument/2006/relationships/hyperlink" Target="http://www.pref.osaka.lg.jp/hodo/attach/hodo-37656_5.pdf" TargetMode="External"/><Relationship Id="rId824" Type="http://schemas.openxmlformats.org/officeDocument/2006/relationships/hyperlink" Target="http://www.pref.osaka.lg.jp/hodo/attach/hodo-37656_5.pdf" TargetMode="External"/><Relationship Id="rId823" Type="http://schemas.openxmlformats.org/officeDocument/2006/relationships/hyperlink" Target="http://www.pref.osaka.lg.jp/hodo/attach/hodo-37656_5.pdf" TargetMode="External"/><Relationship Id="rId819" Type="http://schemas.openxmlformats.org/officeDocument/2006/relationships/hyperlink" Target="http://www.pref.osaka.lg.jp/hodo/attach/hodo-37645_5.pdf" TargetMode="External"/><Relationship Id="rId818" Type="http://schemas.openxmlformats.org/officeDocument/2006/relationships/hyperlink" Target="http://www.pref.osaka.lg.jp/hodo/attach/hodo-37645_5.pdf" TargetMode="External"/><Relationship Id="rId817" Type="http://schemas.openxmlformats.org/officeDocument/2006/relationships/hyperlink" Target="http://www.pref.osaka.lg.jp/hodo/attach/hodo-37645_5.pdf" TargetMode="External"/><Relationship Id="rId816" Type="http://schemas.openxmlformats.org/officeDocument/2006/relationships/hyperlink" Target="http://www.pref.osaka.lg.jp/hodo/attach/hodo-37645_5.pdf" TargetMode="External"/><Relationship Id="rId811" Type="http://schemas.openxmlformats.org/officeDocument/2006/relationships/hyperlink" Target="http://www.pref.osaka.lg.jp/hodo/attach/hodo-37633_5.pdf" TargetMode="External"/><Relationship Id="rId810" Type="http://schemas.openxmlformats.org/officeDocument/2006/relationships/hyperlink" Target="http://www.pref.osaka.lg.jp/hodo/attach/hodo-37633_5.pdf" TargetMode="External"/><Relationship Id="rId815" Type="http://schemas.openxmlformats.org/officeDocument/2006/relationships/hyperlink" Target="http://www.pref.osaka.lg.jp/hodo/attach/hodo-37645_5.pdf" TargetMode="External"/><Relationship Id="rId814" Type="http://schemas.openxmlformats.org/officeDocument/2006/relationships/hyperlink" Target="http://www.pref.osaka.lg.jp/hodo/attach/hodo-37645_5.pdf" TargetMode="External"/><Relationship Id="rId813" Type="http://schemas.openxmlformats.org/officeDocument/2006/relationships/hyperlink" Target="http://www.pref.osaka.lg.jp/hodo/attach/hodo-37645_5.pdf" TargetMode="External"/><Relationship Id="rId812" Type="http://schemas.openxmlformats.org/officeDocument/2006/relationships/hyperlink" Target="http://www.pref.osaka.lg.jp/hodo/attach/hodo-37645_5.pdf" TargetMode="External"/><Relationship Id="rId609" Type="http://schemas.openxmlformats.org/officeDocument/2006/relationships/hyperlink" Target="http://www.pref.osaka.lg.jp/hodo/attach/hodo-37913_4.pdf" TargetMode="External"/><Relationship Id="rId608" Type="http://schemas.openxmlformats.org/officeDocument/2006/relationships/hyperlink" Target="http://www.pref.osaka.lg.jp/hodo/attach/hodo-37913_4.pdf" TargetMode="External"/><Relationship Id="rId607" Type="http://schemas.openxmlformats.org/officeDocument/2006/relationships/hyperlink" Target="http://www.pref.osaka.lg.jp/hodo/attach/hodo-37913_4.pdf" TargetMode="External"/><Relationship Id="rId849" Type="http://schemas.openxmlformats.org/officeDocument/2006/relationships/hyperlink" Target="http://www.pref.osaka.lg.jp/hodo/attach/hodo-37680_5.pdf" TargetMode="External"/><Relationship Id="rId602" Type="http://schemas.openxmlformats.org/officeDocument/2006/relationships/hyperlink" Target="http://www.pref.osaka.lg.jp/hodo/attach/hodo-37913_4.pdf" TargetMode="External"/><Relationship Id="rId844" Type="http://schemas.openxmlformats.org/officeDocument/2006/relationships/hyperlink" Target="http://www.pref.osaka.lg.jp/hodo/attach/hodo-37694_4.pdf" TargetMode="External"/><Relationship Id="rId601" Type="http://schemas.openxmlformats.org/officeDocument/2006/relationships/hyperlink" Target="http://www.pref.osaka.lg.jp/hodo/attach/hodo-37913_4.pdf" TargetMode="External"/><Relationship Id="rId843" Type="http://schemas.openxmlformats.org/officeDocument/2006/relationships/hyperlink" Target="http://www.pref.osaka.lg.jp/hodo/attach/hodo-37694_4.pdf" TargetMode="External"/><Relationship Id="rId600" Type="http://schemas.openxmlformats.org/officeDocument/2006/relationships/hyperlink" Target="http://www.pref.osaka.lg.jp/hodo/attach/hodo-37900_4.pdf" TargetMode="External"/><Relationship Id="rId842" Type="http://schemas.openxmlformats.org/officeDocument/2006/relationships/hyperlink" Target="http://www.pref.osaka.lg.jp/hodo/attach/hodo-37694_4.pdf" TargetMode="External"/><Relationship Id="rId841" Type="http://schemas.openxmlformats.org/officeDocument/2006/relationships/hyperlink" Target="http://www.pref.osaka.lg.jp/hodo/attach/hodo-37680_5.pdf" TargetMode="External"/><Relationship Id="rId606" Type="http://schemas.openxmlformats.org/officeDocument/2006/relationships/hyperlink" Target="http://www.pref.osaka.lg.jp/hodo/attach/hodo-37913_4.pdf" TargetMode="External"/><Relationship Id="rId848" Type="http://schemas.openxmlformats.org/officeDocument/2006/relationships/hyperlink" Target="http://www.pref.osaka.lg.jp/hodo/attach/hodo-37659_5.pdf" TargetMode="External"/><Relationship Id="rId605" Type="http://schemas.openxmlformats.org/officeDocument/2006/relationships/hyperlink" Target="http://www.pref.osaka.lg.jp/hodo/attach/hodo-37913_4.pdf" TargetMode="External"/><Relationship Id="rId847" Type="http://schemas.openxmlformats.org/officeDocument/2006/relationships/hyperlink" Target="http://www.pref.osaka.lg.jp/hodo/attach/hodo-37802_4.pdf" TargetMode="External"/><Relationship Id="rId604" Type="http://schemas.openxmlformats.org/officeDocument/2006/relationships/hyperlink" Target="http://www.pref.osaka.lg.jp/hodo/attach/hodo-37913_4.pdf" TargetMode="External"/><Relationship Id="rId846" Type="http://schemas.openxmlformats.org/officeDocument/2006/relationships/hyperlink" Target="http://www.pref.osaka.lg.jp/hodo/attach/hodo-37802_4.pdf" TargetMode="External"/><Relationship Id="rId603" Type="http://schemas.openxmlformats.org/officeDocument/2006/relationships/hyperlink" Target="http://www.pref.osaka.lg.jp/hodo/attach/hodo-37913_4.pdf" TargetMode="External"/><Relationship Id="rId845" Type="http://schemas.openxmlformats.org/officeDocument/2006/relationships/hyperlink" Target="http://www.pref.osaka.lg.jp/hodo/attach/hodo-37659_5.pdf" TargetMode="External"/><Relationship Id="rId840" Type="http://schemas.openxmlformats.org/officeDocument/2006/relationships/hyperlink" Target="http://www.pref.osaka.lg.jp/hodo/attach/hodo-37680_5.pdf" TargetMode="External"/><Relationship Id="rId839" Type="http://schemas.openxmlformats.org/officeDocument/2006/relationships/hyperlink" Target="http://www.pref.osaka.lg.jp/hodo/attach/hodo-37680_5.pdf" TargetMode="External"/><Relationship Id="rId838" Type="http://schemas.openxmlformats.org/officeDocument/2006/relationships/hyperlink" Target="http://www.pref.osaka.lg.jp/hodo/index.php?site=fumin&amp;pageId=37593" TargetMode="External"/><Relationship Id="rId833" Type="http://schemas.openxmlformats.org/officeDocument/2006/relationships/hyperlink" Target="http://www.pref.osaka.lg.jp/hodo/attach/hodo-37659_5.pdf" TargetMode="External"/><Relationship Id="rId832" Type="http://schemas.openxmlformats.org/officeDocument/2006/relationships/hyperlink" Target="http://www.pref.osaka.lg.jp/hodo/attach/hodo-37659_5.pdf" TargetMode="External"/><Relationship Id="rId831" Type="http://schemas.openxmlformats.org/officeDocument/2006/relationships/hyperlink" Target="http://www.pref.osaka.lg.jp/hodo/attach/hodo-37659_5.pdf" TargetMode="External"/><Relationship Id="rId830" Type="http://schemas.openxmlformats.org/officeDocument/2006/relationships/hyperlink" Target="http://www.pref.osaka.lg.jp/hodo/attach/hodo-37659_5.pdf" TargetMode="External"/><Relationship Id="rId837" Type="http://schemas.openxmlformats.org/officeDocument/2006/relationships/hyperlink" Target="http://www.pref.osaka.lg.jp/hodo/attach/hodo-37680_5.pdf" TargetMode="External"/><Relationship Id="rId836" Type="http://schemas.openxmlformats.org/officeDocument/2006/relationships/hyperlink" Target="http://www.pref.osaka.lg.jp/hodo/attach/hodo-37680_5.pdf" TargetMode="External"/><Relationship Id="rId835" Type="http://schemas.openxmlformats.org/officeDocument/2006/relationships/hyperlink" Target="http://www.pref.osaka.lg.jp/hodo/attach/hodo-37659_5.pdf" TargetMode="External"/><Relationship Id="rId834" Type="http://schemas.openxmlformats.org/officeDocument/2006/relationships/hyperlink" Target="http://www.pref.osaka.lg.jp/hodo/attach/hodo-37659_5.pdf" TargetMode="External"/><Relationship Id="rId1059" Type="http://schemas.openxmlformats.org/officeDocument/2006/relationships/hyperlink" Target="https://www.pref.fukuoka.lg.jp/contents/covid19-hassei.html" TargetMode="External"/><Relationship Id="rId228" Type="http://schemas.openxmlformats.org/officeDocument/2006/relationships/hyperlink" Target="https://www.pref.saitama.lg.jp/a0001/news/page/2019/0328-01.html" TargetMode="External"/><Relationship Id="rId227" Type="http://schemas.openxmlformats.org/officeDocument/2006/relationships/hyperlink" Target="https://www.pref.saitama.lg.jp/a0701/covid19/jokyo.html" TargetMode="External"/><Relationship Id="rId469" Type="http://schemas.openxmlformats.org/officeDocument/2006/relationships/hyperlink" Target="http://www.city.nagoya.jp/kenkofukushi/cmsfiles/contents/0000126/126920/R20306kisya.pdf;https://www.asahi.com/articles/ASN37624HN37OIPE008.html" TargetMode="External"/><Relationship Id="rId226" Type="http://schemas.openxmlformats.org/officeDocument/2006/relationships/hyperlink" Target="https://www.city.kawaguchi.lg.jp/material/files/group/86/korona20200326.pdf" TargetMode="External"/><Relationship Id="rId468" Type="http://schemas.openxmlformats.org/officeDocument/2006/relationships/hyperlink" Target="http://www.city.nagoya.jp/kenkofukushi/cmsfiles/contents/0000126/126920/R20306kisya.pdf;https://www.asahi.com/articles/ASN37624HN37OIPE008.html" TargetMode="External"/><Relationship Id="rId225" Type="http://schemas.openxmlformats.org/officeDocument/2006/relationships/hyperlink" Target="https://www.city.kawaguchi.lg.jp/material/files/group/86/korona20200326.pdf" TargetMode="External"/><Relationship Id="rId467" Type="http://schemas.openxmlformats.org/officeDocument/2006/relationships/hyperlink" Target="http://www.city.nagoya.jp/kenkofukushi/cmsfiles/contents/0000126/126920/R20305kisya.pdf;https://www.asahi.com/articles/ASN37624HN37OIPE008.html" TargetMode="External"/><Relationship Id="rId1290" Type="http://schemas.openxmlformats.org/officeDocument/2006/relationships/hyperlink" Target="https://www.pref.kyoto.jp/kentai/news/documents/20200402-77.pdf" TargetMode="External"/><Relationship Id="rId1291" Type="http://schemas.openxmlformats.org/officeDocument/2006/relationships/hyperlink" Target="https://www.city.kyoto.lg.jp/hokenfukushi/cmsfiles/contents/0000267/267904/200402oshirase46-50.pdf" TargetMode="External"/><Relationship Id="rId229" Type="http://schemas.openxmlformats.org/officeDocument/2006/relationships/hyperlink" Target="https://www.pref.saitama.lg.jp/a0001/news/page/2019/0326-90.html" TargetMode="External"/><Relationship Id="rId1050" Type="http://schemas.openxmlformats.org/officeDocument/2006/relationships/hyperlink" Target="https://www.pref.fukuoka.lg.jp/contents/covid19-hassei.html" TargetMode="External"/><Relationship Id="rId1292" Type="http://schemas.openxmlformats.org/officeDocument/2006/relationships/hyperlink" Target="https://www.city.kyoto.lg.jp/hokenfukushi/cmsfiles/contents/0000267/267904/200402oshirase46-50.pdf" TargetMode="External"/><Relationship Id="rId220" Type="http://schemas.openxmlformats.org/officeDocument/2006/relationships/hyperlink" Target="https://www.pref.saitama.lg.jp/a0001/news/page/2019/0324-10.html" TargetMode="External"/><Relationship Id="rId462" Type="http://schemas.openxmlformats.org/officeDocument/2006/relationships/hyperlink" Target="https://www.city.gamagori.lg.jp/unit/hoken/covid-19press.html" TargetMode="External"/><Relationship Id="rId1051" Type="http://schemas.openxmlformats.org/officeDocument/2006/relationships/hyperlink" Target="https://www.pref.fukuoka.lg.jp/contents/covid19-hassei.html" TargetMode="External"/><Relationship Id="rId1293" Type="http://schemas.openxmlformats.org/officeDocument/2006/relationships/hyperlink" Target="https://www.pref.kyoto.jp/kentai/news/documents/20200402-77.pdf" TargetMode="External"/><Relationship Id="rId461" Type="http://schemas.openxmlformats.org/officeDocument/2006/relationships/hyperlink" Target="https://www.city.gamagori.lg.jp/unit/hoken/covid-19press.html" TargetMode="External"/><Relationship Id="rId1052" Type="http://schemas.openxmlformats.org/officeDocument/2006/relationships/hyperlink" Target="https://www.pref.fukuoka.lg.jp/contents/covid19-hassei.html" TargetMode="External"/><Relationship Id="rId1294" Type="http://schemas.openxmlformats.org/officeDocument/2006/relationships/hyperlink" Target="https://www.city.kyoto.lg.jp/hokenfukushi/cmsfiles/contents/0000267/267904/200402oshirase46-50.pdf" TargetMode="External"/><Relationship Id="rId460" Type="http://schemas.openxmlformats.org/officeDocument/2006/relationships/hyperlink" Target="https://www.city.gamagori.lg.jp/unit/hoken/covid-19press.html" TargetMode="External"/><Relationship Id="rId1053" Type="http://schemas.openxmlformats.org/officeDocument/2006/relationships/hyperlink" Target="https://www.pref.fukuoka.lg.jp/contents/covid19-hassei.html" TargetMode="External"/><Relationship Id="rId1295" Type="http://schemas.openxmlformats.org/officeDocument/2006/relationships/hyperlink" Target="https://www.pref.kumamoto.jp/common/UploadFileOutput.ashx?c_id=3&amp;id=32300&amp;sub_id=1&amp;flid=231182" TargetMode="External"/><Relationship Id="rId1054" Type="http://schemas.openxmlformats.org/officeDocument/2006/relationships/hyperlink" Target="https://www.pref.fukuoka.lg.jp/contents/covid19-hassei.html" TargetMode="External"/><Relationship Id="rId1296" Type="http://schemas.openxmlformats.org/officeDocument/2006/relationships/hyperlink" Target="https://www.pref.saga.lg.jp/kiji00373884/3_73884_165986_up_k3iuu74x.pdf" TargetMode="External"/><Relationship Id="rId224" Type="http://schemas.openxmlformats.org/officeDocument/2006/relationships/hyperlink" Target="https://www.pref.saitama.lg.jp/a0001/news/page/2019/0326-90.html" TargetMode="External"/><Relationship Id="rId466" Type="http://schemas.openxmlformats.org/officeDocument/2006/relationships/hyperlink" Target="http://www.city.nagoya.jp/kenkofukushi/cmsfiles/contents/0000126/126920/R20305kisya.pdf;https://www.asahi.com/articles/ASN37624HN37OIPE008.html" TargetMode="External"/><Relationship Id="rId1055" Type="http://schemas.openxmlformats.org/officeDocument/2006/relationships/hyperlink" Target="https://www.pref.fukuoka.lg.jp/contents/covid19-hassei.html" TargetMode="External"/><Relationship Id="rId1297" Type="http://schemas.openxmlformats.org/officeDocument/2006/relationships/hyperlink" Target="https://www.pref.yamaguchi.lg.jp/cms/a15200/kansensyou/koronahassei.html" TargetMode="External"/><Relationship Id="rId223" Type="http://schemas.openxmlformats.org/officeDocument/2006/relationships/hyperlink" Target="https://www.pref.saitama.lg.jp/a0001/news/page/2019/0324-10.html" TargetMode="External"/><Relationship Id="rId465" Type="http://schemas.openxmlformats.org/officeDocument/2006/relationships/hyperlink" Target="http://www.city.nagoya.jp/kenkofukushi/cmsfiles/contents/0000126/126920/R20305kisya.pdf;https://www.asahi.com/articles/ASN37624HN37OIPE008.html" TargetMode="External"/><Relationship Id="rId1056" Type="http://schemas.openxmlformats.org/officeDocument/2006/relationships/hyperlink" Target="https://www.pref.fukuoka.lg.jp/contents/covid19-hassei.html" TargetMode="External"/><Relationship Id="rId1298" Type="http://schemas.openxmlformats.org/officeDocument/2006/relationships/hyperlink" Target="https://web.pref.hyogo.lg.jp/kk03/corona_hasseijyokyo151-200.html" TargetMode="External"/><Relationship Id="rId222" Type="http://schemas.openxmlformats.org/officeDocument/2006/relationships/hyperlink" Target="https://www.pref.saitama.lg.jp/a0001/news/page/2019/0325-07.html" TargetMode="External"/><Relationship Id="rId464" Type="http://schemas.openxmlformats.org/officeDocument/2006/relationships/hyperlink" Target="http://www.city.nagoya.jp/kenkofukushi/cmsfiles/contents/0000126/126920/R20304kisya.pdf;https://www.asahi.com/articles/ASN37624HN37OIPE008.html" TargetMode="External"/><Relationship Id="rId1057" Type="http://schemas.openxmlformats.org/officeDocument/2006/relationships/hyperlink" Target="https://www.pref.fukuoka.lg.jp/contents/covid19-hassei.html" TargetMode="External"/><Relationship Id="rId1299" Type="http://schemas.openxmlformats.org/officeDocument/2006/relationships/hyperlink" Target="https://web.pref.hyogo.lg.jp/kk03/corona_hasseijyokyo151-200.html" TargetMode="External"/><Relationship Id="rId221" Type="http://schemas.openxmlformats.org/officeDocument/2006/relationships/hyperlink" Target="https://www.pref.saitama.lg.jp/a0701/covid19/jokyo.html" TargetMode="External"/><Relationship Id="rId463" Type="http://schemas.openxmlformats.org/officeDocument/2006/relationships/hyperlink" Target="http://www.city.nagoya.jp/kenkofukushi/cmsfiles/contents/0000126/126920/R20304kisya.pdf;https://www.asahi.com/articles/ASN37624HN37OIPE008.html" TargetMode="External"/><Relationship Id="rId1058" Type="http://schemas.openxmlformats.org/officeDocument/2006/relationships/hyperlink" Target="https://www.pref.fukuoka.lg.jp/contents/covid19-hassei.html" TargetMode="External"/><Relationship Id="rId1048" Type="http://schemas.openxmlformats.org/officeDocument/2006/relationships/hyperlink" Target="https://www.pref.fukuoka.lg.jp/contents/covid19-hassei.html" TargetMode="External"/><Relationship Id="rId1049" Type="http://schemas.openxmlformats.org/officeDocument/2006/relationships/hyperlink" Target="https://www.pref.fukuoka.lg.jp/contents/covid19-hassei.html" TargetMode="External"/><Relationship Id="rId217" Type="http://schemas.openxmlformats.org/officeDocument/2006/relationships/hyperlink" Target="https://www.city.kawaguchi.lg.jp/material/files/group/86/korona20200322.pdf" TargetMode="External"/><Relationship Id="rId459" Type="http://schemas.openxmlformats.org/officeDocument/2006/relationships/hyperlink" Target="https://www.city.gamagori.lg.jp/unit/hoken/covid-19press.html;https://www.city.okazaki.lg.jp/1550/1562/1615/p025920.html" TargetMode="External"/><Relationship Id="rId216" Type="http://schemas.openxmlformats.org/officeDocument/2006/relationships/hyperlink" Target="https://www.pref.saitama.lg.jp/a0001/news/page/2019/0322-01.html" TargetMode="External"/><Relationship Id="rId458" Type="http://schemas.openxmlformats.org/officeDocument/2006/relationships/hyperlink" Target="https://www.city.gamagori.lg.jp/unit/hoken/covid-19press.html" TargetMode="External"/><Relationship Id="rId215" Type="http://schemas.openxmlformats.org/officeDocument/2006/relationships/hyperlink" Target="https://www.pref.saitama.lg.jp/a0001/news/page/2019/0322-01.html" TargetMode="External"/><Relationship Id="rId457" Type="http://schemas.openxmlformats.org/officeDocument/2006/relationships/hyperlink" Target="https://www.city.gamagori.lg.jp/unit/hoken/covid-19press.html" TargetMode="External"/><Relationship Id="rId699" Type="http://schemas.openxmlformats.org/officeDocument/2006/relationships/hyperlink" Target="http://www.pref.osaka.lg.jp/hodo/attach/hodo-37645_5.pdf" TargetMode="External"/><Relationship Id="rId214" Type="http://schemas.openxmlformats.org/officeDocument/2006/relationships/hyperlink" Target="https://www.pref.saitama.lg.jp/a0001/news/page/2019/0321-01.html" TargetMode="External"/><Relationship Id="rId456" Type="http://schemas.openxmlformats.org/officeDocument/2006/relationships/hyperlink" Target="https://www.city.okazaki.lg.jp/1550/1562/1615/p025920.html;ttps://www.pref.aichi.jp/uploaded/attachment/324021.pdf;https://www.city.gamagori.lg.jp/unit/hoken/covid-19press.html" TargetMode="External"/><Relationship Id="rId698" Type="http://schemas.openxmlformats.org/officeDocument/2006/relationships/hyperlink" Target="https://www.pref.kochi.lg.jp/soshiki/130401/files/2020022900049/case1-2.pdf" TargetMode="External"/><Relationship Id="rId219" Type="http://schemas.openxmlformats.org/officeDocument/2006/relationships/hyperlink" Target="https://www.city.kawaguchi.lg.jp/material/files/group/86/korona20200322.pdf" TargetMode="External"/><Relationship Id="rId1280" Type="http://schemas.openxmlformats.org/officeDocument/2006/relationships/hyperlink" Target="https://www.pref.kyoto.jp/kentai/news/documents/20200331-59-65.pdf" TargetMode="External"/><Relationship Id="rId218" Type="http://schemas.openxmlformats.org/officeDocument/2006/relationships/hyperlink" Target="https://www.city.kawaguchi.lg.jp/material/files/group/86/korona20200322.pdf" TargetMode="External"/><Relationship Id="rId1281" Type="http://schemas.openxmlformats.org/officeDocument/2006/relationships/hyperlink" Target="https://www.pref.kyoto.jp/kentai/news/documents/20200331-59-65.pdf" TargetMode="External"/><Relationship Id="rId451" Type="http://schemas.openxmlformats.org/officeDocument/2006/relationships/hyperlink" Target="http://www.city.nagoya.jp/kenkofukushi/cmsfiles/contents/0000126/126920/R20303kisya.pdf;https://www.nikkei.com/article/DGXMZO56536490X00C20A3CC1000/" TargetMode="External"/><Relationship Id="rId693" Type="http://schemas.openxmlformats.org/officeDocument/2006/relationships/hyperlink" Target="http://www.pref.osaka.lg.jp/hodo/index.php?site=fumin&amp;pageId=37564" TargetMode="External"/><Relationship Id="rId1040" Type="http://schemas.openxmlformats.org/officeDocument/2006/relationships/hyperlink" Target="https://www.pref.fukuoka.lg.jp/contents/covid19-hassei.html" TargetMode="External"/><Relationship Id="rId1282" Type="http://schemas.openxmlformats.org/officeDocument/2006/relationships/hyperlink" Target="https://www.city.kyoto.lg.jp/hokenfukushi/cmsfiles/contents/0000267/267904/200402oshirase46-50.pdf" TargetMode="External"/><Relationship Id="rId450" Type="http://schemas.openxmlformats.org/officeDocument/2006/relationships/hyperlink" Target="http://www.city.nagoya.jp/kenkofukushi/cmsfiles/contents/0000126/126920/R20303kisya.pdf;https://www.nikkei.com/article/DGXMZO56536490X00C20A3CC1000/" TargetMode="External"/><Relationship Id="rId692" Type="http://schemas.openxmlformats.org/officeDocument/2006/relationships/hyperlink" Target="http://www.pref.osaka.lg.jp/hodo/attach/hodo-37656_5.pdf" TargetMode="External"/><Relationship Id="rId1041" Type="http://schemas.openxmlformats.org/officeDocument/2006/relationships/hyperlink" Target="https://www.pref.fukuoka.lg.jp/contents/covid19-hassei.html" TargetMode="External"/><Relationship Id="rId1283" Type="http://schemas.openxmlformats.org/officeDocument/2006/relationships/hyperlink" Target="https://www.city.kyoto.lg.jp/hokenfukushi/cmsfiles/contents/0000267/267904/200402oshirase46-50.pdf" TargetMode="External"/><Relationship Id="rId691" Type="http://schemas.openxmlformats.org/officeDocument/2006/relationships/hyperlink" Target="http://www.pref.osaka.lg.jp/hodo/attach/hodo-37656_5.pdf" TargetMode="External"/><Relationship Id="rId1042" Type="http://schemas.openxmlformats.org/officeDocument/2006/relationships/hyperlink" Target="https://www.pref.fukuoka.lg.jp/contents/covid19-hassei.html" TargetMode="External"/><Relationship Id="rId1284" Type="http://schemas.openxmlformats.org/officeDocument/2006/relationships/hyperlink" Target="https://www.pref.kyoto.jp/kentai/news/documents/20200331-59-65.pdf" TargetMode="External"/><Relationship Id="rId690" Type="http://schemas.openxmlformats.org/officeDocument/2006/relationships/hyperlink" Target="http://www.pref.osaka.lg.jp/hodo/attach/hodo-37656_5.pdf" TargetMode="External"/><Relationship Id="rId1043" Type="http://schemas.openxmlformats.org/officeDocument/2006/relationships/hyperlink" Target="https://www.pref.fukuoka.lg.jp/contents/covid19-hassei.html" TargetMode="External"/><Relationship Id="rId1285" Type="http://schemas.openxmlformats.org/officeDocument/2006/relationships/hyperlink" Target="https://www.pref.kyoto.jp/kentai/news/documents/20200331-59-65.pdf" TargetMode="External"/><Relationship Id="rId213" Type="http://schemas.openxmlformats.org/officeDocument/2006/relationships/hyperlink" Target="https://www.pref.saitama.lg.jp/a0001/news/page/2019/0321-01.html" TargetMode="External"/><Relationship Id="rId455" Type="http://schemas.openxmlformats.org/officeDocument/2006/relationships/hyperlink" Target="http://www.city.nagoya.jp/kenkofukushi/cmsfiles/contents/0000126/126920/R20304kisya.pdf" TargetMode="External"/><Relationship Id="rId697" Type="http://schemas.openxmlformats.org/officeDocument/2006/relationships/hyperlink" Target="http://www.pref.osaka.lg.jp/hodo/attach/hodo-37633_5.pdf" TargetMode="External"/><Relationship Id="rId1044" Type="http://schemas.openxmlformats.org/officeDocument/2006/relationships/hyperlink" Target="https://www.pref.fukuoka.lg.jp/contents/covid19-hassei.html" TargetMode="External"/><Relationship Id="rId1286" Type="http://schemas.openxmlformats.org/officeDocument/2006/relationships/hyperlink" Target="https://www.pref.kyoto.jp/kentai/news/documents/20200331-59-65.pdf" TargetMode="External"/><Relationship Id="rId212" Type="http://schemas.openxmlformats.org/officeDocument/2006/relationships/hyperlink" Target="https://www.pref.saitama.lg.jp/a0001/news/page/2019/0320-01.html" TargetMode="External"/><Relationship Id="rId454" Type="http://schemas.openxmlformats.org/officeDocument/2006/relationships/hyperlink" Target="http://www.city.nagoya.jp/kenkofukushi/cmsfiles/contents/0000126/126920/R20304kisya.pdf;https://www.nikkei.com/article/DGXMZO56536490X00C20A3CC1000/" TargetMode="External"/><Relationship Id="rId696" Type="http://schemas.openxmlformats.org/officeDocument/2006/relationships/hyperlink" Target="http://www.pref.osaka.lg.jp/hodo/index.php?site=fumin&amp;pageId=37614" TargetMode="External"/><Relationship Id="rId1045" Type="http://schemas.openxmlformats.org/officeDocument/2006/relationships/hyperlink" Target="https://www.pref.fukuoka.lg.jp/contents/covid19-hassei.html" TargetMode="External"/><Relationship Id="rId1287" Type="http://schemas.openxmlformats.org/officeDocument/2006/relationships/hyperlink" Target="https://www.pref.kyoto.jp/kentai/news/documents/20200331-59-65.pdf" TargetMode="External"/><Relationship Id="rId211" Type="http://schemas.openxmlformats.org/officeDocument/2006/relationships/hyperlink" Target="https://www.pref.saitama.lg.jp/a0701/covid19/jokyo.html" TargetMode="External"/><Relationship Id="rId453" Type="http://schemas.openxmlformats.org/officeDocument/2006/relationships/hyperlink" Target="http://www.city.nagoya.jp/kenkofukushi/cmsfiles/contents/0000126/126920/R20304kisya.pdf;https://www.nikkei.com/article/DGXMZO56536490X00C20A3CC1000/" TargetMode="External"/><Relationship Id="rId695" Type="http://schemas.openxmlformats.org/officeDocument/2006/relationships/hyperlink" Target="http://www.pref.osaka.lg.jp/hodo/index.php?site=fumin&amp;pageId=37593" TargetMode="External"/><Relationship Id="rId1046" Type="http://schemas.openxmlformats.org/officeDocument/2006/relationships/hyperlink" Target="https://www.pref.fukuoka.lg.jp/contents/covid19-hassei.html" TargetMode="External"/><Relationship Id="rId1288" Type="http://schemas.openxmlformats.org/officeDocument/2006/relationships/hyperlink" Target="https://www.pref.kyoto.jp/kentai/news/documents/20200331-59-65.pdf" TargetMode="External"/><Relationship Id="rId210" Type="http://schemas.openxmlformats.org/officeDocument/2006/relationships/hyperlink" Target="https://www.pref.saitama.lg.jp/a0001/news/page/2020/0405-01.html" TargetMode="External"/><Relationship Id="rId452" Type="http://schemas.openxmlformats.org/officeDocument/2006/relationships/hyperlink" Target="http://www.city.nagoya.jp/kenkofukushi/cmsfiles/contents/0000126/126920/R20303kisya.pdf;https://www.nikkei.com/article/DGXMZO56536490X00C20A3CC1000/" TargetMode="External"/><Relationship Id="rId694" Type="http://schemas.openxmlformats.org/officeDocument/2006/relationships/hyperlink" Target="http://www.pref.osaka.lg.jp/hodo/attach/hodo-37680_5.pdf" TargetMode="External"/><Relationship Id="rId1047" Type="http://schemas.openxmlformats.org/officeDocument/2006/relationships/hyperlink" Target="https://www.pref.fukuoka.lg.jp/contents/covid19-hassei.html" TargetMode="External"/><Relationship Id="rId1289" Type="http://schemas.openxmlformats.org/officeDocument/2006/relationships/hyperlink" Target="https://www.city.kyoto.lg.jp/hokenfukushi/cmsfiles/contents/0000267/267904/200402oshirase46-50.pdf" TargetMode="External"/><Relationship Id="rId491" Type="http://schemas.openxmlformats.org/officeDocument/2006/relationships/hyperlink" Target="http://www.city.nagoya.jp/kenkofukushi/cmsfiles/contents/0000126/126920/R20311kisya(kanjya).pdf;https://www.chunichi.co.jp/article/feature/coronavirus/list/CK2020031402000209.html" TargetMode="External"/><Relationship Id="rId490" Type="http://schemas.openxmlformats.org/officeDocument/2006/relationships/hyperlink" Target="http://www.city.nagoya.jp/kenkofukushi/cmsfiles/contents/0000126/126920/R20311kisya(kanjya).pdf;https://www.chunichi.co.jp/article/feature/coronavirus/list/CK2020031402000209.html" TargetMode="External"/><Relationship Id="rId249" Type="http://schemas.openxmlformats.org/officeDocument/2006/relationships/hyperlink" Target="https://www.pref.chiba.lg.jp/shippei/press/2019/ncov20200323.html" TargetMode="External"/><Relationship Id="rId248" Type="http://schemas.openxmlformats.org/officeDocument/2006/relationships/hyperlink" Target="https://www.pref.chiba.lg.jp/shippei/press/2019/ncov20200327.html" TargetMode="External"/><Relationship Id="rId247" Type="http://schemas.openxmlformats.org/officeDocument/2006/relationships/hyperlink" Target="https://www.pref.chiba.lg.jp/shippei/press/2019/ncov20200323.html" TargetMode="External"/><Relationship Id="rId489" Type="http://schemas.openxmlformats.org/officeDocument/2006/relationships/hyperlink" Target="http://www.city.nagoya.jp/kenkofukushi/cmsfiles/contents/0000126/126920/R20306kisya.pdf" TargetMode="External"/><Relationship Id="rId1070" Type="http://schemas.openxmlformats.org/officeDocument/2006/relationships/hyperlink" Target="https://www.pref.fukuoka.lg.jp/contents/covid19-hassei.html" TargetMode="External"/><Relationship Id="rId1071" Type="http://schemas.openxmlformats.org/officeDocument/2006/relationships/hyperlink" Target="https://www.pref.fukuoka.lg.jp/contents/covid19-hassei.html" TargetMode="External"/><Relationship Id="rId1072" Type="http://schemas.openxmlformats.org/officeDocument/2006/relationships/hyperlink" Target="https://www.pref.fukuoka.lg.jp/contents/covid19-hassei.html" TargetMode="External"/><Relationship Id="rId242" Type="http://schemas.openxmlformats.org/officeDocument/2006/relationships/hyperlink" Target="https://www.pref.chiba.lg.jp/shippei/press/2019/ncov20200329-1.html" TargetMode="External"/><Relationship Id="rId484" Type="http://schemas.openxmlformats.org/officeDocument/2006/relationships/hyperlink" Target="http://www.city.nagoya.jp/kenkofukushi/cmsfiles/contents/0000126/126920/R20225kisya.pdf;https://www.chunichi.co.jp/article/feature/coronavirus/list/CK2020031402000209.html" TargetMode="External"/><Relationship Id="rId1073" Type="http://schemas.openxmlformats.org/officeDocument/2006/relationships/hyperlink" Target="https://www.pref.fukuoka.lg.jp/contents/covid19-hassei.html" TargetMode="External"/><Relationship Id="rId241" Type="http://schemas.openxmlformats.org/officeDocument/2006/relationships/hyperlink" Target="https://www.pref.saitama.lg.jp/a0001/news/page/2020/0404-01.html" TargetMode="External"/><Relationship Id="rId483" Type="http://schemas.openxmlformats.org/officeDocument/2006/relationships/hyperlink" Target="http://www.city.nagoya.jp/kenkofukushi/cmsfiles/contents/0000126/126920/R20223kisya.pdf;https://www.chunichi.co.jp/article/feature/coronavirus/list/CK2020031402000209.html" TargetMode="External"/><Relationship Id="rId1074" Type="http://schemas.openxmlformats.org/officeDocument/2006/relationships/hyperlink" Target="https://www.pref.fukuoka.lg.jp/contents/covid19-hassei.html" TargetMode="External"/><Relationship Id="rId240" Type="http://schemas.openxmlformats.org/officeDocument/2006/relationships/hyperlink" Target="https://www.pref.saitama.lg.jp/a0001/news/page/2020/0404-01.html" TargetMode="External"/><Relationship Id="rId482" Type="http://schemas.openxmlformats.org/officeDocument/2006/relationships/hyperlink" Target="http://www.city.nagoya.jp/kenkofukushi/cmsfiles/contents/0000126/126920/R20223kisya.pdf;https://www.chunichi.co.jp/article/feature/coronavirus/list/CK2020031402000209.html" TargetMode="External"/><Relationship Id="rId1075" Type="http://schemas.openxmlformats.org/officeDocument/2006/relationships/hyperlink" Target="https://www.pref.fukuoka.lg.jp/contents/covid19-hassei.html" TargetMode="External"/><Relationship Id="rId481" Type="http://schemas.openxmlformats.org/officeDocument/2006/relationships/hyperlink" Target="http://www.city.nagoya.jp/kenkofukushi/cmsfiles/contents/0000126/126920/R20222kisya.pdf;https://www.chunichi.co.jp/article/feature/coronavirus/list/CK2020031402000209.html" TargetMode="External"/><Relationship Id="rId1076" Type="http://schemas.openxmlformats.org/officeDocument/2006/relationships/hyperlink" Target="https://www.pref.fukuoka.lg.jp/contents/covid19-hassei.html" TargetMode="External"/><Relationship Id="rId246" Type="http://schemas.openxmlformats.org/officeDocument/2006/relationships/hyperlink" Target="https://www.pref.chiba.lg.jp/shippei/press/2019/ncov20200327.html" TargetMode="External"/><Relationship Id="rId488" Type="http://schemas.openxmlformats.org/officeDocument/2006/relationships/hyperlink" Target="https://www.city.gamagori.lg.jp/unit/hoken/covid-19press.html;https://www.city.toyota.aichi.jp/pressrelease/1036848/1037074.html" TargetMode="External"/><Relationship Id="rId1077" Type="http://schemas.openxmlformats.org/officeDocument/2006/relationships/hyperlink" Target="https://www.pref.fukuoka.lg.jp/contents/covid19-hassei.html" TargetMode="External"/><Relationship Id="rId245" Type="http://schemas.openxmlformats.org/officeDocument/2006/relationships/hyperlink" Target="https://www.pref.chiba.lg.jp/shippei/press/2019/ncov20200323.html" TargetMode="External"/><Relationship Id="rId487" Type="http://schemas.openxmlformats.org/officeDocument/2006/relationships/hyperlink" Target="http://www.city.nagoya.jp/kenkofukushi/cmsfiles/contents/0000126/126920/R20219kisya.pdf;https://www.chunichi.co.jp/article/feature/coronavirus/list/CK2020031402000209.html" TargetMode="External"/><Relationship Id="rId1078" Type="http://schemas.openxmlformats.org/officeDocument/2006/relationships/hyperlink" Target="https://www.pref.fukuoka.lg.jp/contents/covid19-hassei.html" TargetMode="External"/><Relationship Id="rId244" Type="http://schemas.openxmlformats.org/officeDocument/2006/relationships/hyperlink" Target="https://www.pref.chiba.lg.jp/shippei/press/2019/ncov20200323.html" TargetMode="External"/><Relationship Id="rId486" Type="http://schemas.openxmlformats.org/officeDocument/2006/relationships/hyperlink" Target="https://www.pref.aichi.jp/uploaded/attachment/321683.pdf" TargetMode="External"/><Relationship Id="rId1079" Type="http://schemas.openxmlformats.org/officeDocument/2006/relationships/hyperlink" Target="https://www.pref.fukuoka.lg.jp/contents/covid19-hassei.html" TargetMode="External"/><Relationship Id="rId243" Type="http://schemas.openxmlformats.org/officeDocument/2006/relationships/hyperlink" Target="https://www.pref.chiba.lg.jp/shippei/press/2019/ncov20200329-1.html" TargetMode="External"/><Relationship Id="rId485" Type="http://schemas.openxmlformats.org/officeDocument/2006/relationships/hyperlink" Target="http://www.city.nagoya.jp/kenkofukushi/cmsfiles/contents/0000126/126920/R20225kisya.pdf;https://www.chunichi.co.jp/article/feature/coronavirus/list/CK2020031402000209.html" TargetMode="External"/><Relationship Id="rId480" Type="http://schemas.openxmlformats.org/officeDocument/2006/relationships/hyperlink" Target="http://www.city.nagoya.jp/kenkofukushi/cmsfiles/contents/0000126/126920/R20222kisya.pdf;https://www.chunichi.co.jp/article/feature/coronavirus/list/CK2020031402000209.html" TargetMode="External"/><Relationship Id="rId239" Type="http://schemas.openxmlformats.org/officeDocument/2006/relationships/hyperlink" Target="http://www.pref.saitama.lg.jp/a0001/news/page/2019/0331-11.html" TargetMode="External"/><Relationship Id="rId238" Type="http://schemas.openxmlformats.org/officeDocument/2006/relationships/hyperlink" Target="https://www.city.kawaguchi.lg.jp/material/files/group/86/korona20200402.pdf" TargetMode="External"/><Relationship Id="rId237" Type="http://schemas.openxmlformats.org/officeDocument/2006/relationships/hyperlink" Target="https://www.pref.saitama.lg.jp/a0701/covid19/jokyo.html" TargetMode="External"/><Relationship Id="rId479" Type="http://schemas.openxmlformats.org/officeDocument/2006/relationships/hyperlink" Target="http://www.city.nagoya.jp/kenkofukushi/cmsfiles/contents/0000126/126920/R20219kisya.pdf;https://www.chunichi.co.jp/article/feature/coronavirus/list/CK2020031402000209.html" TargetMode="External"/><Relationship Id="rId236" Type="http://schemas.openxmlformats.org/officeDocument/2006/relationships/hyperlink" Target="https://www.pref.saitama.lg.jp/a0701/covid19/jokyo.html" TargetMode="External"/><Relationship Id="rId478" Type="http://schemas.openxmlformats.org/officeDocument/2006/relationships/hyperlink" Target="http://www.city.nagoya.jp/kenkofukushi/cmsfiles/contents/0000126/126920/R20309kisya.pdf" TargetMode="External"/><Relationship Id="rId1060" Type="http://schemas.openxmlformats.org/officeDocument/2006/relationships/hyperlink" Target="https://www.pref.fukuoka.lg.jp/contents/covid19-hassei.html" TargetMode="External"/><Relationship Id="rId1061" Type="http://schemas.openxmlformats.org/officeDocument/2006/relationships/hyperlink" Target="https://www.pref.fukuoka.lg.jp/contents/covid19-hassei.html" TargetMode="External"/><Relationship Id="rId231" Type="http://schemas.openxmlformats.org/officeDocument/2006/relationships/hyperlink" Target="https://www.city.kawaguchi.lg.jp/material/files/group/86/korona20200401.pdf" TargetMode="External"/><Relationship Id="rId473" Type="http://schemas.openxmlformats.org/officeDocument/2006/relationships/hyperlink" Target="http://www.city.nagoya.jp/kenkofukushi/cmsfiles/contents/0000126/126920/R20308kisya.pdf;https://www.asahi.com/articles/ASN37624HN37OIPE008.html" TargetMode="External"/><Relationship Id="rId1062" Type="http://schemas.openxmlformats.org/officeDocument/2006/relationships/hyperlink" Target="https://www.pref.fukuoka.lg.jp/contents/covid19-hassei.html" TargetMode="External"/><Relationship Id="rId230" Type="http://schemas.openxmlformats.org/officeDocument/2006/relationships/hyperlink" Target="https://www.pref.saitama.lg.jp/a0001/news/page/2019/0326-90.html" TargetMode="External"/><Relationship Id="rId472" Type="http://schemas.openxmlformats.org/officeDocument/2006/relationships/hyperlink" Target="http://www.city.nagoya.jp/kenkofukushi/cmsfiles/contents/0000126/126920/R20307kisya.pdf;https://www.asahi.com/articles/ASN37624HN37OIPE008.html" TargetMode="External"/><Relationship Id="rId1063" Type="http://schemas.openxmlformats.org/officeDocument/2006/relationships/hyperlink" Target="https://www.pref.fukuoka.lg.jp/contents/covid19-hassei.html" TargetMode="External"/><Relationship Id="rId471" Type="http://schemas.openxmlformats.org/officeDocument/2006/relationships/hyperlink" Target="http://www.city.nagoya.jp/kenkofukushi/cmsfiles/contents/0000126/126920/R20307kisya.pdf;https://www.asahi.com/articles/ASN37624HN37OIPE008.html" TargetMode="External"/><Relationship Id="rId1064" Type="http://schemas.openxmlformats.org/officeDocument/2006/relationships/hyperlink" Target="https://www.pref.fukuoka.lg.jp/contents/covid19-hassei.html" TargetMode="External"/><Relationship Id="rId470" Type="http://schemas.openxmlformats.org/officeDocument/2006/relationships/hyperlink" Target="http://www.city.nagoya.jp/kenkofukushi/cmsfiles/contents/0000126/126920/R20306kisya.pdf;https://www.asahi.com/articles/ASN37624HN37OIPE008.html" TargetMode="External"/><Relationship Id="rId1065" Type="http://schemas.openxmlformats.org/officeDocument/2006/relationships/hyperlink" Target="https://www.pref.fukuoka.lg.jp/contents/covid19-hassei.html" TargetMode="External"/><Relationship Id="rId235" Type="http://schemas.openxmlformats.org/officeDocument/2006/relationships/hyperlink" Target="https://www.pref.saitama.lg.jp/a0001/news/page/2020/0405-01.html" TargetMode="External"/><Relationship Id="rId477" Type="http://schemas.openxmlformats.org/officeDocument/2006/relationships/hyperlink" Target="http://www.city.nagoya.jp/kenkofukushi/cmsfiles/contents/0000126/126920/R20319kisyahappyou.pdf;https://www.tokai-tv.com/tokainews/article.php?i=119966&amp;date=20200319" TargetMode="External"/><Relationship Id="rId1066" Type="http://schemas.openxmlformats.org/officeDocument/2006/relationships/hyperlink" Target="https://www.pref.fukuoka.lg.jp/contents/covid19-hassei.html" TargetMode="External"/><Relationship Id="rId234" Type="http://schemas.openxmlformats.org/officeDocument/2006/relationships/hyperlink" Target="http://www.pref.saitama.lg.jp/a0001/news/page/2020/0403-03.html" TargetMode="External"/><Relationship Id="rId476" Type="http://schemas.openxmlformats.org/officeDocument/2006/relationships/hyperlink" Target="http://www.city.nagoya.jp/kenkofukushi/cmsfiles/contents/0000126/126920/R20310kisya.pdf;https://www.asahi.com/articles/ASN37624HN37OIPE008.html" TargetMode="External"/><Relationship Id="rId1067" Type="http://schemas.openxmlformats.org/officeDocument/2006/relationships/hyperlink" Target="https://www.pref.fukuoka.lg.jp/contents/covid19-hassei.html" TargetMode="External"/><Relationship Id="rId233" Type="http://schemas.openxmlformats.org/officeDocument/2006/relationships/hyperlink" Target="https://www.pref.saitama.lg.jp/a0001/news/page/2019/0329-01.html" TargetMode="External"/><Relationship Id="rId475" Type="http://schemas.openxmlformats.org/officeDocument/2006/relationships/hyperlink" Target="http://www.city.nagoya.jp/kenkofukushi/cmsfiles/contents/0000126/126920/R20308kisya.pdf;https://www.asahi.com/articles/ASN37624HN37OIPE008.html" TargetMode="External"/><Relationship Id="rId1068" Type="http://schemas.openxmlformats.org/officeDocument/2006/relationships/hyperlink" Target="https://www.pref.fukuoka.lg.jp/contents/covid19-hassei.html" TargetMode="External"/><Relationship Id="rId232" Type="http://schemas.openxmlformats.org/officeDocument/2006/relationships/hyperlink" Target="https://www.city.saitama.jp/002/001/008/006/013/001/p070442.html" TargetMode="External"/><Relationship Id="rId474" Type="http://schemas.openxmlformats.org/officeDocument/2006/relationships/hyperlink" Target="http://www.city.nagoya.jp/kenkofukushi/cmsfiles/contents/0000126/126920/R20308kisya.pdf;https://www.asahi.com/articles/ASN37624HN37OIPE008.html" TargetMode="External"/><Relationship Id="rId1069" Type="http://schemas.openxmlformats.org/officeDocument/2006/relationships/hyperlink" Target="https://www.pref.fukuoka.lg.jp/contents/covid19-hassei.html" TargetMode="External"/><Relationship Id="rId1015" Type="http://schemas.openxmlformats.org/officeDocument/2006/relationships/hyperlink" Target="https://www.pref.fukuoka.lg.jp/contents/bukan.html" TargetMode="External"/><Relationship Id="rId1257" Type="http://schemas.openxmlformats.org/officeDocument/2006/relationships/hyperlink" Target="https://www.city.gifu.lg.jp/secure/44927/kansen14-1_s.pdf" TargetMode="External"/><Relationship Id="rId1016" Type="http://schemas.openxmlformats.org/officeDocument/2006/relationships/hyperlink" Target="https://www.pref.fukuoka.lg.jp/contents/covid19-hassei.html" TargetMode="External"/><Relationship Id="rId1258" Type="http://schemas.openxmlformats.org/officeDocument/2006/relationships/hyperlink" Target="https://www.pref.gifu.lg.jp/kinkyu-juyo-joho/shingata_corona_kansendoko.data/0408_kanjya_kisyasiryou.pdf" TargetMode="External"/><Relationship Id="rId1017" Type="http://schemas.openxmlformats.org/officeDocument/2006/relationships/hyperlink" Target="https://www.pref.fukuoka.lg.jp/contents/covid19-hassei.html" TargetMode="External"/><Relationship Id="rId1259" Type="http://schemas.openxmlformats.org/officeDocument/2006/relationships/hyperlink" Target="https://www.city.gifu.lg.jp/secure/44927/kansen16-2_s.pdf;https://www.city.gifu.lg.jp/secure/44927/kansen15-2_s.pdf" TargetMode="External"/><Relationship Id="rId1018" Type="http://schemas.openxmlformats.org/officeDocument/2006/relationships/hyperlink" Target="https://www.pref.fukuoka.lg.jp/contents/covid19-hassei.html" TargetMode="External"/><Relationship Id="rId1019" Type="http://schemas.openxmlformats.org/officeDocument/2006/relationships/hyperlink" Target="https://www.pref.fukuoka.lg.jp/contents/covid19-hassei.html" TargetMode="External"/><Relationship Id="rId426" Type="http://schemas.openxmlformats.org/officeDocument/2006/relationships/hyperlink" Target="https://www.pref.aichi.jp/site/covid19-aichi/pressrelease-ncov200325.html" TargetMode="External"/><Relationship Id="rId668" Type="http://schemas.openxmlformats.org/officeDocument/2006/relationships/hyperlink" Target="http://www.pref.osaka.lg.jp/hodo/attach/hodo-37900_4.pdf" TargetMode="External"/><Relationship Id="rId425" Type="http://schemas.openxmlformats.org/officeDocument/2006/relationships/hyperlink" Target="https://www.pref.aichi.jp/site/covid19-aichi/pressrelease-ncov200324.html" TargetMode="External"/><Relationship Id="rId667" Type="http://schemas.openxmlformats.org/officeDocument/2006/relationships/hyperlink" Target="http://www.pref.osaka.lg.jp/hodo/attach/hodo-37902_4.pdf" TargetMode="External"/><Relationship Id="rId424" Type="http://schemas.openxmlformats.org/officeDocument/2006/relationships/hyperlink" Target="https://www.pref.aichi.jp/site/covid19-aichi/pressrelease-ncov200327.html" TargetMode="External"/><Relationship Id="rId666" Type="http://schemas.openxmlformats.org/officeDocument/2006/relationships/hyperlink" Target="http://www.pref.osaka.lg.jp/hodo/attach/hodo-37890_4.pdf" TargetMode="External"/><Relationship Id="rId423" Type="http://schemas.openxmlformats.org/officeDocument/2006/relationships/hyperlink" Target="https://www.pref.aichi.jp/site/covid19-aichi/pressrelease-ncov200325.html" TargetMode="External"/><Relationship Id="rId665" Type="http://schemas.openxmlformats.org/officeDocument/2006/relationships/hyperlink" Target="http://www.pref.osaka.lg.jp/hodo/attach/hodo-37890_4.pdf" TargetMode="External"/><Relationship Id="rId429" Type="http://schemas.openxmlformats.org/officeDocument/2006/relationships/hyperlink" Target="https://www.pref.aichi.jp/site/covid19-aichi/pressrelease-ncov200325.html" TargetMode="External"/><Relationship Id="rId428" Type="http://schemas.openxmlformats.org/officeDocument/2006/relationships/hyperlink" Target="https://www.pref.aichi.jp/site/covid19-aichi/pressrelease-ncov200327.html" TargetMode="External"/><Relationship Id="rId427" Type="http://schemas.openxmlformats.org/officeDocument/2006/relationships/hyperlink" Target="https://www.pref.aichi.jp/site/covid19-aichi/pressrelease-ncov200327.html" TargetMode="External"/><Relationship Id="rId669" Type="http://schemas.openxmlformats.org/officeDocument/2006/relationships/hyperlink" Target="http://www.pref.osaka.lg.jp/hodo/attach/hodo-37900_4.pdf" TargetMode="External"/><Relationship Id="rId660" Type="http://schemas.openxmlformats.org/officeDocument/2006/relationships/hyperlink" Target="http://www.pref.osaka.lg.jp/hodo/attach/hodo-37907_4.pdf" TargetMode="External"/><Relationship Id="rId1250" Type="http://schemas.openxmlformats.org/officeDocument/2006/relationships/hyperlink" Target="https://www.pref.fukui.lg.jp/doc/kenkou/kansensyo-yobousessyu/corona_d/fil/200408.pdf" TargetMode="External"/><Relationship Id="rId1251" Type="http://schemas.openxmlformats.org/officeDocument/2006/relationships/hyperlink" Target="https://www.city.gifu.lg.jp/secure/44927/kansen29-1_s.pdf" TargetMode="External"/><Relationship Id="rId1010" Type="http://schemas.openxmlformats.org/officeDocument/2006/relationships/hyperlink" Target="https://www.pref.kochi.lg.jp/soshiki/130401/files/2020022900049/case4-6.pdf" TargetMode="External"/><Relationship Id="rId1252" Type="http://schemas.openxmlformats.org/officeDocument/2006/relationships/hyperlink" Target="https://www.city.gifu.lg.jp/secure/44927/kansen30-01_s.pdf" TargetMode="External"/><Relationship Id="rId422" Type="http://schemas.openxmlformats.org/officeDocument/2006/relationships/hyperlink" Target="https://www.pref.aichi.jp/site/covid19-aichi/pressrelease-ncov200325.html" TargetMode="External"/><Relationship Id="rId664" Type="http://schemas.openxmlformats.org/officeDocument/2006/relationships/hyperlink" Target="http://www.pref.osaka.lg.jp/hodo/attach/hodo-37932_4.pdf" TargetMode="External"/><Relationship Id="rId1011" Type="http://schemas.openxmlformats.org/officeDocument/2006/relationships/hyperlink" Target="https://www.pref.kochi.lg.jp/soshiki/130401/files/2020022900049/case-7.pdf" TargetMode="External"/><Relationship Id="rId1253" Type="http://schemas.openxmlformats.org/officeDocument/2006/relationships/hyperlink" Target="https://www.city.gifu.lg.jp/secure/44927/kansen31-1_s.pdf" TargetMode="External"/><Relationship Id="rId421" Type="http://schemas.openxmlformats.org/officeDocument/2006/relationships/hyperlink" Target="https://www.pref.aichi.jp/site/covid19-aichi/pressrelease-ncov200321.html" TargetMode="External"/><Relationship Id="rId663" Type="http://schemas.openxmlformats.org/officeDocument/2006/relationships/hyperlink" Target="http://www.pref.osaka.lg.jp/hodo/attach/hodo-37890_4.pdf" TargetMode="External"/><Relationship Id="rId1012" Type="http://schemas.openxmlformats.org/officeDocument/2006/relationships/hyperlink" Target="https://www.pref.kochi.lg.jp/soshiki/130401/files/2020022900049/file_202046116226_1.pdf" TargetMode="External"/><Relationship Id="rId1254" Type="http://schemas.openxmlformats.org/officeDocument/2006/relationships/hyperlink" Target="https://www.pref.gifu.lg.jp/kinkyu-juyo-joho/shingata_corona_kansendoko.data/0405_kanjya_kisyasiryou.pdf" TargetMode="External"/><Relationship Id="rId420" Type="http://schemas.openxmlformats.org/officeDocument/2006/relationships/hyperlink" Target="https://www.nagoya-expressway.or.jp/files/news/file/11cf1eb2042a7604dca525e44d644535.pdf" TargetMode="External"/><Relationship Id="rId662" Type="http://schemas.openxmlformats.org/officeDocument/2006/relationships/hyperlink" Target="http://www.pref.osaka.lg.jp/hodo/attach/hodo-37902_4.pdf" TargetMode="External"/><Relationship Id="rId1013" Type="http://schemas.openxmlformats.org/officeDocument/2006/relationships/hyperlink" Target="https://www.pref.kochi.lg.jp/soshiki/130401/files/2020022900049/file_202046116226_1.pdf" TargetMode="External"/><Relationship Id="rId1255" Type="http://schemas.openxmlformats.org/officeDocument/2006/relationships/hyperlink" Target="https://www.pref.gifu.lg.jp/kinkyu-juyo-joho/shingata_corona_kansendoko.data/0405_kanjya_kisyasiryou.pdf" TargetMode="External"/><Relationship Id="rId661" Type="http://schemas.openxmlformats.org/officeDocument/2006/relationships/hyperlink" Target="http://www.pref.osaka.lg.jp/hodo/attach/hodo-37890_4.pdf" TargetMode="External"/><Relationship Id="rId1014" Type="http://schemas.openxmlformats.org/officeDocument/2006/relationships/hyperlink" Target="https://www.pref.kochi.lg.jp/soshiki/130401/files/2020022900049/teirei0307.pdf" TargetMode="External"/><Relationship Id="rId1256" Type="http://schemas.openxmlformats.org/officeDocument/2006/relationships/hyperlink" Target="https://www.city.gifu.lg.jp/secure/44927/kansen40_2_s.pdf" TargetMode="External"/><Relationship Id="rId1004" Type="http://schemas.openxmlformats.org/officeDocument/2006/relationships/hyperlink" Target="https://www.pref.kochi.lg.jp/soshiki/130401/files/2020022900049/file_2020450162157_1.pdf" TargetMode="External"/><Relationship Id="rId1246" Type="http://schemas.openxmlformats.org/officeDocument/2006/relationships/hyperlink" Target="https://www.pref.fukui.lg.jp/doc/kenkou/kansensyo-yobousessyu/corona_d/fil/200407.pdf" TargetMode="External"/><Relationship Id="rId1005" Type="http://schemas.openxmlformats.org/officeDocument/2006/relationships/hyperlink" Target="https://www.pref.kochi.lg.jp/soshiki/130401/files/2020022900049/file_2020450161934_1.pdf" TargetMode="External"/><Relationship Id="rId1247" Type="http://schemas.openxmlformats.org/officeDocument/2006/relationships/hyperlink" Target="https://www.chunichi.co.jp/s/article/2020040990103937.html;https://www.pref.fukui.lg.jp/doc/kenkou/kansensyo-yobousessyu/corona_d/fil/200409.pdf" TargetMode="External"/><Relationship Id="rId1006" Type="http://schemas.openxmlformats.org/officeDocument/2006/relationships/hyperlink" Target="https://www.pref.kochi.lg.jp/soshiki/130401/files/2020022900049/file_2020450161934_1.pdf" TargetMode="External"/><Relationship Id="rId1248" Type="http://schemas.openxmlformats.org/officeDocument/2006/relationships/hyperlink" Target="https://www.chunichi.co.jp/s/article/2020040990103937.html;https://www.pref.fukui.lg.jp/doc/kenkou/kansensyo-yobousessyu/corona_d/fil/200409.pdf" TargetMode="External"/><Relationship Id="rId1007" Type="http://schemas.openxmlformats.org/officeDocument/2006/relationships/hyperlink" Target="https://www.pref.kochi.lg.jp/soshiki/130401/files/2020022900049/file_2020450161934_1.pdf" TargetMode="External"/><Relationship Id="rId1249" Type="http://schemas.openxmlformats.org/officeDocument/2006/relationships/hyperlink" Target="https://www.chunichi.co.jp/s/article/2020040990103937.html;https://www.pref.fukui.lg.jp/doc/kenkou/kansensyo-yobousessyu/corona_d/fil/200409.pdf" TargetMode="External"/><Relationship Id="rId1008" Type="http://schemas.openxmlformats.org/officeDocument/2006/relationships/hyperlink" Target="https://www.pref.kochi.lg.jp/soshiki/130401/files/2020022900049/file_2020450161934_1.pdf" TargetMode="External"/><Relationship Id="rId1009" Type="http://schemas.openxmlformats.org/officeDocument/2006/relationships/hyperlink" Target="https://www.pref.kochi.lg.jp/soshiki/130401/files/2020022900049/case4-6.pdf" TargetMode="External"/><Relationship Id="rId415" Type="http://schemas.openxmlformats.org/officeDocument/2006/relationships/hyperlink" Target="https://www.pref.aichi.jp/site/covid19-aichi/pressrelease-ncov200322.html;https://global.toyota/jp/newsroom/corporate/32059912.html" TargetMode="External"/><Relationship Id="rId657" Type="http://schemas.openxmlformats.org/officeDocument/2006/relationships/hyperlink" Target="http://www.pref.osaka.lg.jp/hodo/attach/hodo-37902_4.pdf" TargetMode="External"/><Relationship Id="rId899" Type="http://schemas.openxmlformats.org/officeDocument/2006/relationships/hyperlink" Target="https://web.pref.hyogo.lg.jp/kk03/corona_hasseijyokyo53-100.html" TargetMode="External"/><Relationship Id="rId414" Type="http://schemas.openxmlformats.org/officeDocument/2006/relationships/hyperlink" Target="http://www.city.nagoya.jp/kenkofukushi/cmsfiles/contents/0000126/126920/R20318kisya.pdf" TargetMode="External"/><Relationship Id="rId656" Type="http://schemas.openxmlformats.org/officeDocument/2006/relationships/hyperlink" Target="http://www.pref.osaka.lg.jp/hodo/attach/hodo-37890_4.pdf" TargetMode="External"/><Relationship Id="rId898" Type="http://schemas.openxmlformats.org/officeDocument/2006/relationships/hyperlink" Target="https://web.pref.hyogo.lg.jp/kk03/corona_hasseijyokyo53-100.html" TargetMode="External"/><Relationship Id="rId413" Type="http://schemas.openxmlformats.org/officeDocument/2006/relationships/hyperlink" Target="https://www.pref.aichi.jp/site/covid19-aichi/pressrelease-ncov200318.html" TargetMode="External"/><Relationship Id="rId655" Type="http://schemas.openxmlformats.org/officeDocument/2006/relationships/hyperlink" Target="http://www.pref.osaka.lg.jp/hodo/attach/hodo-37890_4.pdf" TargetMode="External"/><Relationship Id="rId897" Type="http://schemas.openxmlformats.org/officeDocument/2006/relationships/hyperlink" Target="https://web.pref.hyogo.lg.jp/kk03/documents/0318corona_kanjya.pdf" TargetMode="External"/><Relationship Id="rId412" Type="http://schemas.openxmlformats.org/officeDocument/2006/relationships/hyperlink" Target="https://www.pref.aichi.jp/site/covid19-aichi/pressrelease-ncov200318.html" TargetMode="External"/><Relationship Id="rId654" Type="http://schemas.openxmlformats.org/officeDocument/2006/relationships/hyperlink" Target="http://www.pref.osaka.lg.jp/hodo/attach/hodo-37907_4.pdf" TargetMode="External"/><Relationship Id="rId896" Type="http://schemas.openxmlformats.org/officeDocument/2006/relationships/hyperlink" Target="https://web.pref.hyogo.lg.jp/kk03/corona_hasseijyokyo.html" TargetMode="External"/><Relationship Id="rId419" Type="http://schemas.openxmlformats.org/officeDocument/2006/relationships/hyperlink" Target="http://www.city.nagoya.jp/kenkofukushi/cmsfiles/contents/0000126/126920/R20327kisyahappyou.pdf;https://www.nagoya2.jrc.or.jp/shingatakoronauirusukansensyounotaiounituite/" TargetMode="External"/><Relationship Id="rId418" Type="http://schemas.openxmlformats.org/officeDocument/2006/relationships/hyperlink" Target="http://www.city.nagoya.jp/kenkofukushi/cmsfiles/contents/0000126/126920/R20325kisyahappyou.pdf;https://www.nagoya2.jrc.or.jp/shingatakoronauirusukansensyounotaiounituite/" TargetMode="External"/><Relationship Id="rId417" Type="http://schemas.openxmlformats.org/officeDocument/2006/relationships/hyperlink" Target="http://www.city.nagoya.jp/kenkofukushi/cmsfiles/contents/0000126/126920/200324happyou.pdf" TargetMode="External"/><Relationship Id="rId659" Type="http://schemas.openxmlformats.org/officeDocument/2006/relationships/hyperlink" Target="http://www.pref.osaka.lg.jp/hodo/attach/hodo-37913_4.pdf" TargetMode="External"/><Relationship Id="rId416" Type="http://schemas.openxmlformats.org/officeDocument/2006/relationships/hyperlink" Target="http://www.city.nagoya.jp/kenkofukushi/cmsfiles/contents/0000126/126920/R20322kisya.pdf;https://www.fnn.jp/posts/10858THK" TargetMode="External"/><Relationship Id="rId658" Type="http://schemas.openxmlformats.org/officeDocument/2006/relationships/hyperlink" Target="http://www.pref.osaka.lg.jp/hodo/attach/hodo-37902_4.pdf" TargetMode="External"/><Relationship Id="rId891" Type="http://schemas.openxmlformats.org/officeDocument/2006/relationships/hyperlink" Target="https://web.pref.hyogo.lg.jp/kk03/corona_hasseijyokyo.html" TargetMode="External"/><Relationship Id="rId890" Type="http://schemas.openxmlformats.org/officeDocument/2006/relationships/hyperlink" Target="https://web.pref.hyogo.lg.jp/kk03/corona_hasseijyokyo.html" TargetMode="External"/><Relationship Id="rId1240" Type="http://schemas.openxmlformats.org/officeDocument/2006/relationships/hyperlink" Target="https://www.pref.fukui.lg.jp/doc/kenkou/kansensyo-yobousessyu/corona_d/fil/200408.pdf" TargetMode="External"/><Relationship Id="rId1241" Type="http://schemas.openxmlformats.org/officeDocument/2006/relationships/hyperlink" Target="https://www.pref.fukui.lg.jp/doc/kenkou/kansensyo-yobousessyu/corona_d/fil/200409.pdf" TargetMode="External"/><Relationship Id="rId411" Type="http://schemas.openxmlformats.org/officeDocument/2006/relationships/hyperlink" Target="http://www.city.nagoya.jp/kenkofukushi/cmsfiles/contents/0000126/126920/R20317kannzya.pdf" TargetMode="External"/><Relationship Id="rId653" Type="http://schemas.openxmlformats.org/officeDocument/2006/relationships/hyperlink" Target="http://www.pref.osaka.lg.jp/hodo/attach/hodo-37907_4.pdf" TargetMode="External"/><Relationship Id="rId895" Type="http://schemas.openxmlformats.org/officeDocument/2006/relationships/hyperlink" Target="https://web.pref.hyogo.lg.jp/kk03/corona_hasseijyokyo.html" TargetMode="External"/><Relationship Id="rId1000" Type="http://schemas.openxmlformats.org/officeDocument/2006/relationships/hyperlink" Target="https://www.pref.kochi.lg.jp/soshiki/130401/files/2020022900049/file_2020450161934_1.pdf" TargetMode="External"/><Relationship Id="rId1242" Type="http://schemas.openxmlformats.org/officeDocument/2006/relationships/hyperlink" Target="https://www.chunichi.co.jp/article/fukui/20200407/CK2020040702000043.html" TargetMode="External"/><Relationship Id="rId410" Type="http://schemas.openxmlformats.org/officeDocument/2006/relationships/hyperlink" Target="http://www.city.nagoya.jp/kenkofukushi/cmsfiles/contents/0000126/126920/200314kannzyazyouhou.pdf" TargetMode="External"/><Relationship Id="rId652" Type="http://schemas.openxmlformats.org/officeDocument/2006/relationships/hyperlink" Target="http://www.pref.osaka.lg.jp/hodo/attach/hodo-37932_4.pdf" TargetMode="External"/><Relationship Id="rId894" Type="http://schemas.openxmlformats.org/officeDocument/2006/relationships/hyperlink" Target="https://web.pref.hyogo.lg.jp/kk03/corona_hasseijyokyo.html" TargetMode="External"/><Relationship Id="rId1001" Type="http://schemas.openxmlformats.org/officeDocument/2006/relationships/hyperlink" Target="https://www.pref.kochi.lg.jp/soshiki/130401/files/2020022900049/file_2020446162710_1.pdf" TargetMode="External"/><Relationship Id="rId1243" Type="http://schemas.openxmlformats.org/officeDocument/2006/relationships/hyperlink" Target="https://www.pref.fukui.lg.jp/doc/kenkou/kansensyo-yobousessyu/corona_d/fil/200407.pdf" TargetMode="External"/><Relationship Id="rId651" Type="http://schemas.openxmlformats.org/officeDocument/2006/relationships/hyperlink" Target="http://www.pref.osaka.lg.jp/hodo/attach/hodo-37913_4.pdf" TargetMode="External"/><Relationship Id="rId893" Type="http://schemas.openxmlformats.org/officeDocument/2006/relationships/hyperlink" Target="https://web.pref.hyogo.lg.jp/kk03/corona_hasseijyokyo.html" TargetMode="External"/><Relationship Id="rId1002" Type="http://schemas.openxmlformats.org/officeDocument/2006/relationships/hyperlink" Target="https://www.pref.kochi.lg.jp/soshiki/130401/files/2020022900049/file_2020446162710_1.pdf" TargetMode="External"/><Relationship Id="rId1244" Type="http://schemas.openxmlformats.org/officeDocument/2006/relationships/hyperlink" Target="https://www.pref.fukui.lg.jp/doc/kenkou/kansensyo-yobousessyu/corona_d/fil/200407.pdf" TargetMode="External"/><Relationship Id="rId650" Type="http://schemas.openxmlformats.org/officeDocument/2006/relationships/hyperlink" Target="http://www.pref.osaka.lg.jp/hodo/attach/hodo-37902_4.pdf" TargetMode="External"/><Relationship Id="rId892" Type="http://schemas.openxmlformats.org/officeDocument/2006/relationships/hyperlink" Target="https://web.pref.hyogo.lg.jp/kk03/corona_hasseijyokyo.html" TargetMode="External"/><Relationship Id="rId1003" Type="http://schemas.openxmlformats.org/officeDocument/2006/relationships/hyperlink" Target="https://www.pref.kochi.lg.jp/soshiki/130401/files/2020022900049/file_2020446162710_1.pdf" TargetMode="External"/><Relationship Id="rId1245" Type="http://schemas.openxmlformats.org/officeDocument/2006/relationships/hyperlink" Target="https://www.pref.fukui.lg.jp/doc/kenkou/kansensyo-yobousessyu/corona_d/fil/200407.pdf" TargetMode="External"/><Relationship Id="rId1037" Type="http://schemas.openxmlformats.org/officeDocument/2006/relationships/hyperlink" Target="https://www.pref.fukuoka.lg.jp/contents/covid19-hassei.html" TargetMode="External"/><Relationship Id="rId1279" Type="http://schemas.openxmlformats.org/officeDocument/2006/relationships/hyperlink" Target="https://www.city.gifu.lg.jp/secure/44927/kansen39_3_s.pdf" TargetMode="External"/><Relationship Id="rId1038" Type="http://schemas.openxmlformats.org/officeDocument/2006/relationships/hyperlink" Target="https://www.pref.fukuoka.lg.jp/contents/covid19-hassei.html" TargetMode="External"/><Relationship Id="rId1039" Type="http://schemas.openxmlformats.org/officeDocument/2006/relationships/hyperlink" Target="https://www.pref.fukuoka.lg.jp/contents/covid19-hassei.html" TargetMode="External"/><Relationship Id="rId206" Type="http://schemas.openxmlformats.org/officeDocument/2006/relationships/hyperlink" Target="https://www.city.koshigaya.saitama.jp/kurashi_shisei/fukushi/hokenjo/kansensho/kansen_hassei6.html" TargetMode="External"/><Relationship Id="rId448" Type="http://schemas.openxmlformats.org/officeDocument/2006/relationships/hyperlink" Target="http://www.city.nagoya.jp/kenkofukushi/cmsfiles/contents/0000126/126920/R20305kisya.pdf" TargetMode="External"/><Relationship Id="rId205" Type="http://schemas.openxmlformats.org/officeDocument/2006/relationships/hyperlink" Target="https://www.pref.saitama.lg.jp/a0001/news/page/2020/0405-01.html" TargetMode="External"/><Relationship Id="rId447" Type="http://schemas.openxmlformats.org/officeDocument/2006/relationships/hyperlink" Target="http://www.city.nagoya.jp/kenkofukushi/cmsfiles/contents/0000126/126920/R20304kisya.pdf" TargetMode="External"/><Relationship Id="rId689" Type="http://schemas.openxmlformats.org/officeDocument/2006/relationships/hyperlink" Target="http://www.pref.osaka.lg.jp/hodo/attach/hodo-37656_5.pdf" TargetMode="External"/><Relationship Id="rId204" Type="http://schemas.openxmlformats.org/officeDocument/2006/relationships/hyperlink" Target="https://www.pref.saitama.lg.jp/a0001/news/page/2020/0405-01.html" TargetMode="External"/><Relationship Id="rId446" Type="http://schemas.openxmlformats.org/officeDocument/2006/relationships/hyperlink" Target="http://www.city.nagoya.jp/kenkofukushi/cmsfiles/contents/0000126/126920/R20301kisya.pdf;https://www.tokai-tv.com/newsone/corner/20200302-coronaviruscluster.html" TargetMode="External"/><Relationship Id="rId688" Type="http://schemas.openxmlformats.org/officeDocument/2006/relationships/hyperlink" Target="http://www.pref.osaka.lg.jp/hodo/index.php?site=fumin&amp;pageId=37564" TargetMode="External"/><Relationship Id="rId203" Type="http://schemas.openxmlformats.org/officeDocument/2006/relationships/hyperlink" Target="https://www.pref.saitama.lg.jp/a0001/news/page/2020/0404-01.html" TargetMode="External"/><Relationship Id="rId445" Type="http://schemas.openxmlformats.org/officeDocument/2006/relationships/hyperlink" Target="http://www.city.nagoya.jp/kenkofukushi/cmsfiles/contents/0000126/126920/R20301kisya.pdf;https://www.tokai-tv.com/newsone/corner/20200302-coronaviruscluster.html" TargetMode="External"/><Relationship Id="rId687" Type="http://schemas.openxmlformats.org/officeDocument/2006/relationships/hyperlink" Target="http://www.pref.osaka.lg.jp/hodo/attach/hodo-37645_5.pdf" TargetMode="External"/><Relationship Id="rId209" Type="http://schemas.openxmlformats.org/officeDocument/2006/relationships/hyperlink" Target="https://www.pref.saitama.lg.jp/a0001/news/page/2020/0405-01.html" TargetMode="External"/><Relationship Id="rId208" Type="http://schemas.openxmlformats.org/officeDocument/2006/relationships/hyperlink" Target="https://www.pref.saitama.lg.jp/a0001/news/page/2020/0405-01.html" TargetMode="External"/><Relationship Id="rId207" Type="http://schemas.openxmlformats.org/officeDocument/2006/relationships/hyperlink" Target="https://www.pref.saitama.lg.jp/a0001/news/page/2020/0405-01.html" TargetMode="External"/><Relationship Id="rId449" Type="http://schemas.openxmlformats.org/officeDocument/2006/relationships/hyperlink" Target="http://www.city.nagoya.jp/kenkofukushi/cmsfiles/contents/0000126/126920/R20215kisya.pdf" TargetMode="External"/><Relationship Id="rId1270" Type="http://schemas.openxmlformats.org/officeDocument/2006/relationships/hyperlink" Target="https://www.city.gifu.lg.jp/secure/44927/kansen27-2_s.pdf" TargetMode="External"/><Relationship Id="rId440" Type="http://schemas.openxmlformats.org/officeDocument/2006/relationships/hyperlink" Target="http://www.city.nagoya.jp/kenkofukushi/cmsfiles/contents/0000126/126920/R20306kisya.pdf" TargetMode="External"/><Relationship Id="rId682" Type="http://schemas.openxmlformats.org/officeDocument/2006/relationships/hyperlink" Target="http://www.pref.osaka.lg.jp/hodo/index.php?site=fumin&amp;pageId=37548" TargetMode="External"/><Relationship Id="rId1271" Type="http://schemas.openxmlformats.org/officeDocument/2006/relationships/hyperlink" Target="https://www.pref.gifu.lg.jp/kinkyu-juyo-joho/shingata_corona_kansendoko.data/0408_kanjya_kisyasiryou.pdf" TargetMode="External"/><Relationship Id="rId681" Type="http://schemas.openxmlformats.org/officeDocument/2006/relationships/hyperlink" Target="http://www.pref.osaka.lg.jp/hodo/attach/hodo-37890_4.pdf" TargetMode="External"/><Relationship Id="rId1030" Type="http://schemas.openxmlformats.org/officeDocument/2006/relationships/hyperlink" Target="https://www.pref.fukuoka.lg.jp/contents/covid19-hassei.html" TargetMode="External"/><Relationship Id="rId1272" Type="http://schemas.openxmlformats.org/officeDocument/2006/relationships/hyperlink" Target="https://www.city.gifu.lg.jp/secure/44927/kansen33-1_s.pdf" TargetMode="External"/><Relationship Id="rId680" Type="http://schemas.openxmlformats.org/officeDocument/2006/relationships/hyperlink" Target="http://www.pref.osaka.lg.jp/hodo/attach/hodo-37890_4.pdf" TargetMode="External"/><Relationship Id="rId1031" Type="http://schemas.openxmlformats.org/officeDocument/2006/relationships/hyperlink" Target="https://www.pref.fukuoka.lg.jp/contents/covid19-hassei.html" TargetMode="External"/><Relationship Id="rId1273" Type="http://schemas.openxmlformats.org/officeDocument/2006/relationships/hyperlink" Target="https://www.city.gifu.lg.jp/secure/44927/kansen34-1_s.pdf" TargetMode="External"/><Relationship Id="rId1032" Type="http://schemas.openxmlformats.org/officeDocument/2006/relationships/hyperlink" Target="https://www.pref.fukuoka.lg.jp/contents/covid19-hassei.html" TargetMode="External"/><Relationship Id="rId1274" Type="http://schemas.openxmlformats.org/officeDocument/2006/relationships/hyperlink" Target="https://www.city.gifu.lg.jp/secure/44927/kansen35-1_s.pdf" TargetMode="External"/><Relationship Id="rId202" Type="http://schemas.openxmlformats.org/officeDocument/2006/relationships/hyperlink" Target="https://www.pref.saitama.lg.jp/a0001/news/page/2020/0404-01.html" TargetMode="External"/><Relationship Id="rId444" Type="http://schemas.openxmlformats.org/officeDocument/2006/relationships/hyperlink" Target="http://www.city.nagoya.jp/kenkofukushi/cmsfiles/contents/0000126/126920/R20228kisya.pdf" TargetMode="External"/><Relationship Id="rId686" Type="http://schemas.openxmlformats.org/officeDocument/2006/relationships/hyperlink" Target="http://www.pref.osaka.lg.jp/hodo/attach/hodo-37645_5.pdf" TargetMode="External"/><Relationship Id="rId1033" Type="http://schemas.openxmlformats.org/officeDocument/2006/relationships/hyperlink" Target="https://www.pref.fukuoka.lg.jp/contents/covid19-hassei.html" TargetMode="External"/><Relationship Id="rId1275" Type="http://schemas.openxmlformats.org/officeDocument/2006/relationships/hyperlink" Target="https://www.city.gifu.lg.jp/secure/44927/kansen36-1_s.pdf" TargetMode="External"/><Relationship Id="rId201" Type="http://schemas.openxmlformats.org/officeDocument/2006/relationships/hyperlink" Target="https://www.pref.saitama.lg.jp/a0001/news/page/2020/0404-01.html" TargetMode="External"/><Relationship Id="rId443" Type="http://schemas.openxmlformats.org/officeDocument/2006/relationships/hyperlink" Target="http://www.city.nagoya.jp/kenkofukushi/cmsfiles/contents/0000126/126920/R20310kisya.pdf" TargetMode="External"/><Relationship Id="rId685" Type="http://schemas.openxmlformats.org/officeDocument/2006/relationships/hyperlink" Target="http://www.pref.osaka.lg.jp/hodo/attach/hodo-37643_4.pdf" TargetMode="External"/><Relationship Id="rId1034" Type="http://schemas.openxmlformats.org/officeDocument/2006/relationships/hyperlink" Target="https://www.pref.fukuoka.lg.jp/contents/covid19-hassei.html" TargetMode="External"/><Relationship Id="rId1276" Type="http://schemas.openxmlformats.org/officeDocument/2006/relationships/hyperlink" Target="https://www.city.gifu.lg.jp/secure/44927/kansen37-1_s.pdf" TargetMode="External"/><Relationship Id="rId200" Type="http://schemas.openxmlformats.org/officeDocument/2006/relationships/hyperlink" Target="https://www.pref.saitama.lg.jp/a0001/news/page/2020/0405-01.html" TargetMode="External"/><Relationship Id="rId442" Type="http://schemas.openxmlformats.org/officeDocument/2006/relationships/hyperlink" Target="http://www.city.nagoya.jp/kenkofukushi/cmsfiles/contents/0000126/126920/R20304kisya.pdf" TargetMode="External"/><Relationship Id="rId684" Type="http://schemas.openxmlformats.org/officeDocument/2006/relationships/hyperlink" Target="http://www.pref.osaka.lg.jp/hodo/attach/hodo-37633_5.pdf" TargetMode="External"/><Relationship Id="rId1035" Type="http://schemas.openxmlformats.org/officeDocument/2006/relationships/hyperlink" Target="https://www.pref.fukuoka.lg.jp/contents/covid19-hassei.html" TargetMode="External"/><Relationship Id="rId1277" Type="http://schemas.openxmlformats.org/officeDocument/2006/relationships/hyperlink" Target="https://www.city.gifu.lg.jp/secure/44927/kansen38-1_s.pdf" TargetMode="External"/><Relationship Id="rId441" Type="http://schemas.openxmlformats.org/officeDocument/2006/relationships/hyperlink" Target="https://www.pref.aichi.jp/uploaded/attachment/324021.pdf" TargetMode="External"/><Relationship Id="rId683" Type="http://schemas.openxmlformats.org/officeDocument/2006/relationships/hyperlink" Target="http://www.pref.osaka.lg.jp/hodo/attach/hodo-37633_5.pdf" TargetMode="External"/><Relationship Id="rId1036" Type="http://schemas.openxmlformats.org/officeDocument/2006/relationships/hyperlink" Target="https://www.pref.fukuoka.lg.jp/contents/covid19-hassei.html" TargetMode="External"/><Relationship Id="rId1278" Type="http://schemas.openxmlformats.org/officeDocument/2006/relationships/hyperlink" Target="https://www.city.gifu.lg.jp/secure/44927/kansen33-1_s.pdf" TargetMode="External"/><Relationship Id="rId1026" Type="http://schemas.openxmlformats.org/officeDocument/2006/relationships/hyperlink" Target="https://www.pref.fukuoka.lg.jp/contents/covid19-hassei.html" TargetMode="External"/><Relationship Id="rId1268" Type="http://schemas.openxmlformats.org/officeDocument/2006/relationships/hyperlink" Target="https://www.city.gifu.lg.jp/secure/44927/kansen22-1_s.pdf" TargetMode="External"/><Relationship Id="rId1027" Type="http://schemas.openxmlformats.org/officeDocument/2006/relationships/hyperlink" Target="https://www.pref.fukuoka.lg.jp/contents/covid19-hassei.html" TargetMode="External"/><Relationship Id="rId1269" Type="http://schemas.openxmlformats.org/officeDocument/2006/relationships/hyperlink" Target="https://www.city.gifu.lg.jp/secure/44927/kansen25-1_s.pdf" TargetMode="External"/><Relationship Id="rId1028" Type="http://schemas.openxmlformats.org/officeDocument/2006/relationships/hyperlink" Target="https://www.pref.fukuoka.lg.jp/contents/covid19-hassei.html" TargetMode="External"/><Relationship Id="rId1029" Type="http://schemas.openxmlformats.org/officeDocument/2006/relationships/hyperlink" Target="https://www.pref.fukuoka.lg.jp/contents/covid19-hassei.html" TargetMode="External"/><Relationship Id="rId437" Type="http://schemas.openxmlformats.org/officeDocument/2006/relationships/hyperlink" Target="https://www.pref.aichi.jp/site/covid19-aichi/pressrelease-ncov200327.html" TargetMode="External"/><Relationship Id="rId679" Type="http://schemas.openxmlformats.org/officeDocument/2006/relationships/hyperlink" Target="http://www.pref.osaka.lg.jp/hodo/attach/hodo-37890_4.pdf" TargetMode="External"/><Relationship Id="rId436" Type="http://schemas.openxmlformats.org/officeDocument/2006/relationships/hyperlink" Target="https://www.pref.aichi.jp/site/covid19-aichi/pressrelease-ncov200327.html" TargetMode="External"/><Relationship Id="rId678" Type="http://schemas.openxmlformats.org/officeDocument/2006/relationships/hyperlink" Target="http://www.pref.osaka.lg.jp/hodo/attach/hodo-37890_4.pdf" TargetMode="External"/><Relationship Id="rId435" Type="http://schemas.openxmlformats.org/officeDocument/2006/relationships/hyperlink" Target="https://www.pref.aichi.jp/site/covid19-aichi/pressrelease-ncov200327.html" TargetMode="External"/><Relationship Id="rId677" Type="http://schemas.openxmlformats.org/officeDocument/2006/relationships/hyperlink" Target="http://www.pref.osaka.lg.jp/hodo/attach/hodo-37932_4.pdf" TargetMode="External"/><Relationship Id="rId434" Type="http://schemas.openxmlformats.org/officeDocument/2006/relationships/hyperlink" Target="https://www.pref.aichi.jp/site/covid19-aichi/pressrelease-ncov200328.html" TargetMode="External"/><Relationship Id="rId676" Type="http://schemas.openxmlformats.org/officeDocument/2006/relationships/hyperlink" Target="http://www.pref.osaka.lg.jp/hodo/attach/hodo-37890_4.pdf" TargetMode="External"/><Relationship Id="rId439" Type="http://schemas.openxmlformats.org/officeDocument/2006/relationships/hyperlink" Target="https://www.pref.aichi.jp/site/covid19-aichi/pressrelease-ncov200327.html" TargetMode="External"/><Relationship Id="rId438" Type="http://schemas.openxmlformats.org/officeDocument/2006/relationships/hyperlink" Target="https://www.pref.aichi.jp/site/covid19-aichi/pressrelease-ncov200327.html" TargetMode="External"/><Relationship Id="rId671" Type="http://schemas.openxmlformats.org/officeDocument/2006/relationships/hyperlink" Target="http://www.pref.osaka.lg.jp/hodo/attach/hodo-37932_4.pdf" TargetMode="External"/><Relationship Id="rId1260" Type="http://schemas.openxmlformats.org/officeDocument/2006/relationships/hyperlink" Target="https://www.city.gifu.lg.jp/secure/44927/kansen17-2_s.pdf" TargetMode="External"/><Relationship Id="rId670" Type="http://schemas.openxmlformats.org/officeDocument/2006/relationships/hyperlink" Target="http://www.pref.osaka.lg.jp/hodo/attach/hodo-37913_4.pdf" TargetMode="External"/><Relationship Id="rId1261" Type="http://schemas.openxmlformats.org/officeDocument/2006/relationships/hyperlink" Target="https://www.city.gifu.lg.jp/secure/44927/kansen18-2_s.pdf" TargetMode="External"/><Relationship Id="rId1020" Type="http://schemas.openxmlformats.org/officeDocument/2006/relationships/hyperlink" Target="https://www.pref.fukuoka.lg.jp/contents/covid19-hassei.html" TargetMode="External"/><Relationship Id="rId1262" Type="http://schemas.openxmlformats.org/officeDocument/2006/relationships/hyperlink" Target="https://www.city.gifu.lg.jp/secure/44927/kansen19-2_s.pdf" TargetMode="External"/><Relationship Id="rId1021" Type="http://schemas.openxmlformats.org/officeDocument/2006/relationships/hyperlink" Target="https://www.pref.fukuoka.lg.jp/contents/covid19-hassei.html" TargetMode="External"/><Relationship Id="rId1263" Type="http://schemas.openxmlformats.org/officeDocument/2006/relationships/hyperlink" Target="https://www.city.gifu.lg.jp/secure/44927/kansen20-2_s.pdf" TargetMode="External"/><Relationship Id="rId433" Type="http://schemas.openxmlformats.org/officeDocument/2006/relationships/hyperlink" Target="https://www.city.okazaki.lg.jp/houdou/p026022.html" TargetMode="External"/><Relationship Id="rId675" Type="http://schemas.openxmlformats.org/officeDocument/2006/relationships/hyperlink" Target="http://www.pref.osaka.lg.jp/hodo/attach/hodo-37900_4.pdf" TargetMode="External"/><Relationship Id="rId1022" Type="http://schemas.openxmlformats.org/officeDocument/2006/relationships/hyperlink" Target="https://www.pref.fukuoka.lg.jp/contents/covid19-hassei.html" TargetMode="External"/><Relationship Id="rId1264" Type="http://schemas.openxmlformats.org/officeDocument/2006/relationships/hyperlink" Target="https://www.city.gifu.lg.jp/secure/44927/kansen21-2_s.pdf" TargetMode="External"/><Relationship Id="rId432" Type="http://schemas.openxmlformats.org/officeDocument/2006/relationships/hyperlink" Target="https://www.pref.aichi.jp/site/covid19-aichi/pressrelease-ncov200325.html" TargetMode="External"/><Relationship Id="rId674" Type="http://schemas.openxmlformats.org/officeDocument/2006/relationships/hyperlink" Target="http://www.pref.osaka.lg.jp/hodo/attach/hodo-37659_5.pdf" TargetMode="External"/><Relationship Id="rId1023" Type="http://schemas.openxmlformats.org/officeDocument/2006/relationships/hyperlink" Target="https://www.pref.fukuoka.lg.jp/contents/covid19-hassei.html" TargetMode="External"/><Relationship Id="rId1265" Type="http://schemas.openxmlformats.org/officeDocument/2006/relationships/hyperlink" Target="https://www.pref.gifu.lg.jp/kinkyu-juyo-joho/shingata_corona_kansendoko.data/0407_kanjya_kisyasiryou02.pdf" TargetMode="External"/><Relationship Id="rId431" Type="http://schemas.openxmlformats.org/officeDocument/2006/relationships/hyperlink" Target="https://www.pref.aichi.jp/site/covid19-aichi/pressrelease-ncov200325.html" TargetMode="External"/><Relationship Id="rId673" Type="http://schemas.openxmlformats.org/officeDocument/2006/relationships/hyperlink" Target="http://www.pref.osaka.lg.jp/hodo/attach/hodo-37802_4.pdf" TargetMode="External"/><Relationship Id="rId1024" Type="http://schemas.openxmlformats.org/officeDocument/2006/relationships/hyperlink" Target="https://www.pref.fukuoka.lg.jp/contents/covid19-hassei.html" TargetMode="External"/><Relationship Id="rId1266" Type="http://schemas.openxmlformats.org/officeDocument/2006/relationships/hyperlink" Target="https://www.pref.gifu.lg.jp/kinkyu-juyo-joho/shingata_corona_kansendoko.data/0407_kanjya_kisyasiryou02.pdf" TargetMode="External"/><Relationship Id="rId430" Type="http://schemas.openxmlformats.org/officeDocument/2006/relationships/hyperlink" Target="https://www.pref.aichi.jp/site/covid19-aichi/pressrelease-ncov200325.html" TargetMode="External"/><Relationship Id="rId672" Type="http://schemas.openxmlformats.org/officeDocument/2006/relationships/hyperlink" Target="http://www.pref.osaka.lg.jp/hodo/attach/hodo-37802_4.pdf" TargetMode="External"/><Relationship Id="rId1025" Type="http://schemas.openxmlformats.org/officeDocument/2006/relationships/hyperlink" Target="https://www.pref.fukuoka.lg.jp/contents/covid19-hassei.html" TargetMode="External"/><Relationship Id="rId1267" Type="http://schemas.openxmlformats.org/officeDocument/2006/relationships/hyperlink" Target="https://www.pref.gifu.lg.jp/kinkyu-juyo-joho/shingata_corona_kansendoko.data/0407_kanjya_kisyasiryou02.pdf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showGridLines="0" workbookViewId="0"/>
  </sheetViews>
  <sheetFormatPr customHeight="1" defaultColWidth="14.43" defaultRowHeight="15.75"/>
  <cols>
    <col customWidth="1" min="6" max="6" width="22.86"/>
    <col customWidth="1" min="7" max="7" width="54.29"/>
  </cols>
  <sheetData>
    <row r="1">
      <c r="A1" s="2" t="s">
        <v>2</v>
      </c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</row>
    <row r="2">
      <c r="A2" s="5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</row>
    <row r="3">
      <c r="A3" s="5" t="s">
        <v>11</v>
      </c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</row>
    <row r="4">
      <c r="A4" s="5" t="s">
        <v>15</v>
      </c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</row>
    <row r="5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</row>
    <row r="6">
      <c r="A6" s="5" t="s">
        <v>16</v>
      </c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</row>
    <row r="7">
      <c r="A7" s="5" t="s">
        <v>17</v>
      </c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</row>
    <row r="8">
      <c r="A8" s="5" t="s">
        <v>19</v>
      </c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</row>
    <row r="9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</row>
    <row r="10">
      <c r="A10" s="5" t="s">
        <v>23</v>
      </c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</row>
    <row r="11">
      <c r="A11" s="5" t="s">
        <v>24</v>
      </c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</row>
    <row r="12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</row>
    <row r="13">
      <c r="A13" s="5" t="s">
        <v>25</v>
      </c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</row>
    <row r="14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</row>
    <row r="15">
      <c r="A15" s="5" t="s">
        <v>26</v>
      </c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</row>
    <row r="16">
      <c r="A16" s="14" t="s">
        <v>27</v>
      </c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</row>
    <row r="17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</row>
    <row r="18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</row>
    <row r="19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</row>
    <row r="20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</row>
    <row r="2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</row>
    <row r="22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</row>
    <row r="2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</row>
    <row r="24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</row>
    <row r="25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</row>
    <row r="26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</row>
    <row r="27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</row>
    <row r="28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</row>
    <row r="29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</row>
    <row r="30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</row>
    <row r="3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</row>
    <row r="32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</row>
    <row r="33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</row>
    <row r="34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</row>
    <row r="35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</row>
    <row r="36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</row>
    <row r="37">
      <c r="A37" s="5" t="s">
        <v>40</v>
      </c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</row>
    <row r="38">
      <c r="A38" s="18" t="s">
        <v>0</v>
      </c>
      <c r="B38" s="18" t="s">
        <v>1</v>
      </c>
      <c r="C38" s="18" t="s">
        <v>3</v>
      </c>
      <c r="D38" s="18" t="s">
        <v>4</v>
      </c>
      <c r="E38" s="18" t="s">
        <v>5</v>
      </c>
      <c r="F38" s="18" t="s">
        <v>6</v>
      </c>
      <c r="G38" s="18" t="s">
        <v>7</v>
      </c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</row>
    <row r="39">
      <c r="A39" s="19" t="s">
        <v>42</v>
      </c>
      <c r="B39" s="19" t="s">
        <v>43</v>
      </c>
      <c r="C39" s="20"/>
      <c r="D39" s="21" t="s">
        <v>44</v>
      </c>
      <c r="E39" s="22" t="s">
        <v>45</v>
      </c>
      <c r="F39" s="23"/>
      <c r="G39" s="25" t="s">
        <v>27</v>
      </c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</row>
    <row r="40">
      <c r="A40" s="26" t="s">
        <v>43</v>
      </c>
      <c r="B40" s="26" t="s">
        <v>50</v>
      </c>
      <c r="C40" s="20"/>
      <c r="D40" s="27" t="s">
        <v>52</v>
      </c>
      <c r="E40" s="28" t="s">
        <v>45</v>
      </c>
      <c r="F40" s="23"/>
      <c r="G40" s="30" t="s">
        <v>27</v>
      </c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</row>
    <row r="41">
      <c r="A41" s="19" t="s">
        <v>50</v>
      </c>
      <c r="B41" s="19" t="s">
        <v>57</v>
      </c>
      <c r="C41" s="31">
        <v>43875.0</v>
      </c>
      <c r="D41" s="21" t="s">
        <v>52</v>
      </c>
      <c r="E41" s="22" t="s">
        <v>45</v>
      </c>
      <c r="F41" s="21" t="s">
        <v>59</v>
      </c>
      <c r="G41" s="25" t="s">
        <v>27</v>
      </c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</row>
    <row r="42">
      <c r="A42" s="26" t="s">
        <v>50</v>
      </c>
      <c r="B42" s="26" t="s">
        <v>63</v>
      </c>
      <c r="C42" s="32">
        <v>43875.0</v>
      </c>
      <c r="D42" s="27" t="s">
        <v>52</v>
      </c>
      <c r="E42" s="28" t="s">
        <v>45</v>
      </c>
      <c r="F42" s="27" t="s">
        <v>59</v>
      </c>
      <c r="G42" s="30" t="s">
        <v>27</v>
      </c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</row>
    <row r="43">
      <c r="A43" s="19" t="s">
        <v>43</v>
      </c>
      <c r="B43" s="19" t="s">
        <v>68</v>
      </c>
      <c r="C43" s="20"/>
      <c r="D43" s="23"/>
      <c r="E43" s="22" t="s">
        <v>45</v>
      </c>
      <c r="F43" s="21" t="s">
        <v>69</v>
      </c>
      <c r="G43" s="25" t="s">
        <v>27</v>
      </c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</row>
    <row r="44">
      <c r="A44" s="26" t="s">
        <v>68</v>
      </c>
      <c r="B44" s="26" t="s">
        <v>71</v>
      </c>
      <c r="C44" s="20"/>
      <c r="D44" s="23"/>
      <c r="E44" s="28" t="s">
        <v>45</v>
      </c>
      <c r="F44" s="27" t="s">
        <v>72</v>
      </c>
      <c r="G44" s="30" t="s">
        <v>27</v>
      </c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</row>
    <row r="45">
      <c r="A45" s="19" t="s">
        <v>68</v>
      </c>
      <c r="B45" s="19" t="s">
        <v>73</v>
      </c>
      <c r="C45" s="20"/>
      <c r="D45" s="23"/>
      <c r="E45" s="22" t="s">
        <v>45</v>
      </c>
      <c r="F45" s="21" t="s">
        <v>72</v>
      </c>
      <c r="G45" s="25" t="s">
        <v>27</v>
      </c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</row>
    <row r="46">
      <c r="A46" s="26" t="s">
        <v>71</v>
      </c>
      <c r="B46" s="26" t="s">
        <v>75</v>
      </c>
      <c r="C46" s="20"/>
      <c r="D46" s="23"/>
      <c r="E46" s="28" t="s">
        <v>45</v>
      </c>
      <c r="F46" s="27" t="s">
        <v>72</v>
      </c>
      <c r="G46" s="30" t="s">
        <v>27</v>
      </c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</row>
    <row r="47">
      <c r="A47" s="19" t="s">
        <v>71</v>
      </c>
      <c r="B47" s="19" t="s">
        <v>76</v>
      </c>
      <c r="C47" s="20"/>
      <c r="D47" s="23"/>
      <c r="E47" s="22" t="s">
        <v>45</v>
      </c>
      <c r="F47" s="21" t="s">
        <v>72</v>
      </c>
      <c r="G47" s="25" t="s">
        <v>27</v>
      </c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</row>
    <row r="48">
      <c r="A48" s="26" t="s">
        <v>57</v>
      </c>
      <c r="B48" s="26" t="s">
        <v>78</v>
      </c>
      <c r="C48" s="20"/>
      <c r="D48" s="27" t="s">
        <v>44</v>
      </c>
      <c r="E48" s="28" t="s">
        <v>45</v>
      </c>
      <c r="F48" s="23"/>
      <c r="G48" s="30" t="s">
        <v>27</v>
      </c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</row>
    <row r="49">
      <c r="A49" s="19" t="s">
        <v>73</v>
      </c>
      <c r="B49" s="19" t="s">
        <v>79</v>
      </c>
      <c r="C49" s="20"/>
      <c r="D49" s="21" t="s">
        <v>44</v>
      </c>
      <c r="E49" s="22" t="s">
        <v>45</v>
      </c>
      <c r="F49" s="23"/>
      <c r="G49" s="25" t="s">
        <v>27</v>
      </c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</row>
    <row r="50">
      <c r="A50" s="26" t="s">
        <v>43</v>
      </c>
      <c r="B50" s="26" t="s">
        <v>82</v>
      </c>
      <c r="C50" s="20"/>
      <c r="D50" s="23"/>
      <c r="E50" s="28" t="s">
        <v>45</v>
      </c>
      <c r="F50" s="27" t="s">
        <v>83</v>
      </c>
      <c r="G50" s="30" t="s">
        <v>27</v>
      </c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</row>
    <row r="51">
      <c r="A51" s="19" t="s">
        <v>43</v>
      </c>
      <c r="B51" s="19" t="s">
        <v>84</v>
      </c>
      <c r="C51" s="20"/>
      <c r="D51" s="23"/>
      <c r="E51" s="22" t="s">
        <v>45</v>
      </c>
      <c r="F51" s="21" t="s">
        <v>69</v>
      </c>
      <c r="G51" s="25" t="s">
        <v>27</v>
      </c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</row>
    <row r="52">
      <c r="A52" s="26" t="s">
        <v>43</v>
      </c>
      <c r="B52" s="26" t="s">
        <v>89</v>
      </c>
      <c r="C52" s="20"/>
      <c r="D52" s="23"/>
      <c r="E52" s="28" t="s">
        <v>45</v>
      </c>
      <c r="F52" s="27" t="s">
        <v>69</v>
      </c>
      <c r="G52" s="30" t="s">
        <v>27</v>
      </c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</row>
    <row r="53">
      <c r="A53" s="19" t="s">
        <v>43</v>
      </c>
      <c r="B53" s="19" t="s">
        <v>90</v>
      </c>
      <c r="C53" s="20"/>
      <c r="D53" s="23"/>
      <c r="E53" s="22" t="s">
        <v>45</v>
      </c>
      <c r="F53" s="21" t="s">
        <v>69</v>
      </c>
      <c r="G53" s="25" t="s">
        <v>27</v>
      </c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</row>
    <row r="54">
      <c r="A54" s="26" t="s">
        <v>43</v>
      </c>
      <c r="B54" s="26" t="s">
        <v>92</v>
      </c>
      <c r="C54" s="20"/>
      <c r="D54" s="23"/>
      <c r="E54" s="28" t="s">
        <v>45</v>
      </c>
      <c r="F54" s="27" t="s">
        <v>69</v>
      </c>
      <c r="G54" s="30" t="s">
        <v>27</v>
      </c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</row>
    <row r="55">
      <c r="A55" s="19" t="s">
        <v>43</v>
      </c>
      <c r="B55" s="19" t="s">
        <v>93</v>
      </c>
      <c r="C55" s="20"/>
      <c r="D55" s="23"/>
      <c r="E55" s="22" t="s">
        <v>45</v>
      </c>
      <c r="F55" s="21" t="s">
        <v>69</v>
      </c>
      <c r="G55" s="25" t="s">
        <v>27</v>
      </c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</row>
    <row r="56">
      <c r="A56" s="26" t="s">
        <v>43</v>
      </c>
      <c r="B56" s="26" t="s">
        <v>95</v>
      </c>
      <c r="C56" s="20"/>
      <c r="D56" s="23"/>
      <c r="E56" s="28" t="s">
        <v>45</v>
      </c>
      <c r="F56" s="27" t="s">
        <v>69</v>
      </c>
      <c r="G56" s="30" t="s">
        <v>27</v>
      </c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</row>
    <row r="57">
      <c r="A57" s="19" t="s">
        <v>43</v>
      </c>
      <c r="B57" s="19" t="s">
        <v>97</v>
      </c>
      <c r="C57" s="20"/>
      <c r="D57" s="23"/>
      <c r="E57" s="22" t="s">
        <v>45</v>
      </c>
      <c r="F57" s="21" t="s">
        <v>69</v>
      </c>
      <c r="G57" s="25" t="s">
        <v>27</v>
      </c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</row>
    <row r="58">
      <c r="A58" s="26" t="s">
        <v>43</v>
      </c>
      <c r="B58" s="26" t="s">
        <v>98</v>
      </c>
      <c r="C58" s="20"/>
      <c r="D58" s="23"/>
      <c r="E58" s="28" t="s">
        <v>45</v>
      </c>
      <c r="F58" s="27" t="s">
        <v>69</v>
      </c>
      <c r="G58" s="30" t="s">
        <v>27</v>
      </c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</row>
    <row r="59">
      <c r="A59" s="19" t="s">
        <v>43</v>
      </c>
      <c r="B59" s="19" t="s">
        <v>99</v>
      </c>
      <c r="C59" s="20"/>
      <c r="D59" s="23"/>
      <c r="E59" s="22" t="s">
        <v>45</v>
      </c>
      <c r="F59" s="21" t="s">
        <v>69</v>
      </c>
      <c r="G59" s="25" t="s">
        <v>27</v>
      </c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</row>
    <row r="60">
      <c r="A60" s="26" t="s">
        <v>99</v>
      </c>
      <c r="B60" s="26" t="s">
        <v>104</v>
      </c>
      <c r="C60" s="20"/>
      <c r="D60" s="27" t="s">
        <v>44</v>
      </c>
      <c r="E60" s="28" t="s">
        <v>45</v>
      </c>
      <c r="F60" s="23"/>
      <c r="G60" s="30" t="s">
        <v>27</v>
      </c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</row>
    <row r="61">
      <c r="A61" s="19" t="s">
        <v>95</v>
      </c>
      <c r="B61" s="19" t="s">
        <v>105</v>
      </c>
      <c r="C61" s="20"/>
      <c r="D61" s="21" t="s">
        <v>44</v>
      </c>
      <c r="E61" s="22" t="s">
        <v>45</v>
      </c>
      <c r="F61" s="23"/>
      <c r="G61" s="25" t="s">
        <v>27</v>
      </c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</row>
    <row r="62">
      <c r="A62" s="26" t="s">
        <v>68</v>
      </c>
      <c r="B62" s="26" t="s">
        <v>107</v>
      </c>
      <c r="C62" s="20"/>
      <c r="D62" s="23"/>
      <c r="E62" s="28" t="s">
        <v>45</v>
      </c>
      <c r="F62" s="27" t="s">
        <v>69</v>
      </c>
      <c r="G62" s="30" t="s">
        <v>27</v>
      </c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</row>
    <row r="63">
      <c r="A63" s="19" t="s">
        <v>68</v>
      </c>
      <c r="B63" s="19" t="s">
        <v>108</v>
      </c>
      <c r="C63" s="20"/>
      <c r="D63" s="23"/>
      <c r="E63" s="22" t="s">
        <v>45</v>
      </c>
      <c r="F63" s="21" t="s">
        <v>69</v>
      </c>
      <c r="G63" s="25" t="s">
        <v>27</v>
      </c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</row>
    <row r="64">
      <c r="A64" s="26" t="s">
        <v>68</v>
      </c>
      <c r="B64" s="26" t="s">
        <v>111</v>
      </c>
      <c r="C64" s="20"/>
      <c r="D64" s="23"/>
      <c r="E64" s="28" t="s">
        <v>45</v>
      </c>
      <c r="F64" s="27" t="s">
        <v>69</v>
      </c>
      <c r="G64" s="30" t="s">
        <v>27</v>
      </c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</row>
    <row r="65">
      <c r="A65" s="19" t="s">
        <v>68</v>
      </c>
      <c r="B65" s="19" t="s">
        <v>112</v>
      </c>
      <c r="C65" s="20"/>
      <c r="D65" s="23"/>
      <c r="E65" s="22" t="s">
        <v>45</v>
      </c>
      <c r="F65" s="21" t="s">
        <v>69</v>
      </c>
      <c r="G65" s="25" t="s">
        <v>27</v>
      </c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</row>
    <row r="66">
      <c r="A66" s="26" t="s">
        <v>68</v>
      </c>
      <c r="B66" s="26" t="s">
        <v>113</v>
      </c>
      <c r="C66" s="20"/>
      <c r="D66" s="23"/>
      <c r="E66" s="28" t="s">
        <v>45</v>
      </c>
      <c r="F66" s="27" t="s">
        <v>69</v>
      </c>
      <c r="G66" s="30" t="s">
        <v>27</v>
      </c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</row>
    <row r="67">
      <c r="A67" s="19" t="s">
        <v>108</v>
      </c>
      <c r="B67" s="19" t="s">
        <v>116</v>
      </c>
      <c r="C67" s="20"/>
      <c r="D67" s="21" t="s">
        <v>30</v>
      </c>
      <c r="E67" s="22" t="s">
        <v>45</v>
      </c>
      <c r="F67" s="23"/>
      <c r="G67" s="25" t="s">
        <v>27</v>
      </c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</row>
    <row r="68">
      <c r="A68" s="26" t="s">
        <v>113</v>
      </c>
      <c r="B68" s="26" t="s">
        <v>119</v>
      </c>
      <c r="C68" s="20"/>
      <c r="D68" s="27" t="s">
        <v>44</v>
      </c>
      <c r="E68" s="28" t="s">
        <v>45</v>
      </c>
      <c r="F68" s="23"/>
      <c r="G68" s="30" t="s">
        <v>27</v>
      </c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</row>
    <row r="69">
      <c r="A69" s="19" t="s">
        <v>98</v>
      </c>
      <c r="B69" s="19" t="s">
        <v>121</v>
      </c>
      <c r="C69" s="20"/>
      <c r="D69" s="21" t="s">
        <v>52</v>
      </c>
      <c r="E69" s="22" t="s">
        <v>45</v>
      </c>
      <c r="F69" s="21" t="s">
        <v>122</v>
      </c>
      <c r="G69" s="25" t="s">
        <v>27</v>
      </c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</row>
    <row r="70">
      <c r="A70" s="26" t="s">
        <v>121</v>
      </c>
      <c r="B70" s="26" t="s">
        <v>123</v>
      </c>
      <c r="C70" s="20"/>
      <c r="D70" s="27" t="s">
        <v>44</v>
      </c>
      <c r="E70" s="28" t="s">
        <v>45</v>
      </c>
      <c r="F70" s="23"/>
      <c r="G70" s="39" t="s">
        <v>27</v>
      </c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</row>
    <row r="71">
      <c r="A71" s="19" t="s">
        <v>121</v>
      </c>
      <c r="B71" s="19" t="s">
        <v>124</v>
      </c>
      <c r="C71" s="20"/>
      <c r="D71" s="21" t="s">
        <v>125</v>
      </c>
      <c r="E71" s="22" t="s">
        <v>45</v>
      </c>
      <c r="F71" s="23"/>
      <c r="G71" s="40" t="s">
        <v>27</v>
      </c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</row>
    <row r="72">
      <c r="A72" s="26" t="s">
        <v>121</v>
      </c>
      <c r="B72" s="26" t="s">
        <v>126</v>
      </c>
      <c r="C72" s="20"/>
      <c r="D72" s="27" t="s">
        <v>127</v>
      </c>
      <c r="E72" s="28" t="s">
        <v>45</v>
      </c>
      <c r="F72" s="23"/>
      <c r="G72" s="30" t="s">
        <v>27</v>
      </c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</row>
    <row r="73">
      <c r="A73" s="19" t="s">
        <v>123</v>
      </c>
      <c r="B73" s="19" t="s">
        <v>128</v>
      </c>
      <c r="C73" s="20"/>
      <c r="D73" s="21" t="s">
        <v>18</v>
      </c>
      <c r="E73" s="22" t="s">
        <v>45</v>
      </c>
      <c r="F73" s="23"/>
      <c r="G73" s="25" t="s">
        <v>27</v>
      </c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</row>
    <row r="74">
      <c r="A74" s="26" t="s">
        <v>123</v>
      </c>
      <c r="B74" s="26" t="s">
        <v>129</v>
      </c>
      <c r="C74" s="20"/>
      <c r="D74" s="27" t="s">
        <v>18</v>
      </c>
      <c r="E74" s="28" t="s">
        <v>45</v>
      </c>
      <c r="F74" s="23"/>
      <c r="G74" s="30" t="s">
        <v>27</v>
      </c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</row>
    <row r="75">
      <c r="A75" s="19" t="s">
        <v>129</v>
      </c>
      <c r="B75" s="19" t="s">
        <v>130</v>
      </c>
      <c r="C75" s="20"/>
      <c r="D75" s="21" t="s">
        <v>125</v>
      </c>
      <c r="E75" s="22" t="s">
        <v>45</v>
      </c>
      <c r="F75" s="23"/>
      <c r="G75" s="25" t="s">
        <v>27</v>
      </c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</row>
    <row r="76">
      <c r="A76" s="26" t="s">
        <v>124</v>
      </c>
      <c r="B76" s="26" t="s">
        <v>131</v>
      </c>
      <c r="C76" s="20"/>
      <c r="D76" s="23"/>
      <c r="E76" s="28" t="s">
        <v>45</v>
      </c>
      <c r="F76" s="27" t="s">
        <v>132</v>
      </c>
      <c r="G76" s="30" t="s">
        <v>27</v>
      </c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</row>
    <row r="77">
      <c r="A77" s="19" t="s">
        <v>133</v>
      </c>
      <c r="B77" s="19" t="s">
        <v>134</v>
      </c>
      <c r="C77" s="20"/>
      <c r="D77" s="23"/>
      <c r="E77" s="22" t="s">
        <v>45</v>
      </c>
      <c r="F77" s="21" t="s">
        <v>122</v>
      </c>
      <c r="G77" s="25" t="s">
        <v>27</v>
      </c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</row>
    <row r="78">
      <c r="A78" s="26" t="s">
        <v>133</v>
      </c>
      <c r="B78" s="26" t="s">
        <v>135</v>
      </c>
      <c r="C78" s="20"/>
      <c r="D78" s="23"/>
      <c r="E78" s="28" t="s">
        <v>45</v>
      </c>
      <c r="F78" s="27" t="s">
        <v>122</v>
      </c>
      <c r="G78" s="30" t="s">
        <v>27</v>
      </c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</row>
    <row r="79">
      <c r="A79" s="19" t="s">
        <v>133</v>
      </c>
      <c r="B79" s="19" t="s">
        <v>136</v>
      </c>
      <c r="C79" s="20"/>
      <c r="D79" s="23"/>
      <c r="E79" s="22" t="s">
        <v>45</v>
      </c>
      <c r="F79" s="21" t="s">
        <v>137</v>
      </c>
      <c r="G79" s="25" t="s">
        <v>27</v>
      </c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</row>
    <row r="80">
      <c r="A80" s="26" t="s">
        <v>135</v>
      </c>
      <c r="B80" s="26" t="s">
        <v>136</v>
      </c>
      <c r="C80" s="20"/>
      <c r="D80" s="23"/>
      <c r="E80" s="28" t="s">
        <v>45</v>
      </c>
      <c r="F80" s="28" t="s">
        <v>137</v>
      </c>
      <c r="G80" s="30" t="s">
        <v>27</v>
      </c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</row>
    <row r="81">
      <c r="A81" s="19" t="s">
        <v>133</v>
      </c>
      <c r="B81" s="19" t="s">
        <v>138</v>
      </c>
      <c r="C81" s="20"/>
      <c r="D81" s="23"/>
      <c r="E81" s="22" t="s">
        <v>45</v>
      </c>
      <c r="F81" s="22" t="s">
        <v>122</v>
      </c>
      <c r="G81" s="25" t="s">
        <v>27</v>
      </c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</row>
    <row r="82">
      <c r="A82" s="26" t="s">
        <v>134</v>
      </c>
      <c r="B82" s="26" t="s">
        <v>139</v>
      </c>
      <c r="C82" s="20"/>
      <c r="D82" s="23"/>
      <c r="E82" s="28" t="s">
        <v>45</v>
      </c>
      <c r="F82" s="27" t="s">
        <v>140</v>
      </c>
      <c r="G82" s="30" t="s">
        <v>27</v>
      </c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</row>
    <row r="83">
      <c r="A83" s="19" t="s">
        <v>134</v>
      </c>
      <c r="B83" s="19" t="s">
        <v>141</v>
      </c>
      <c r="C83" s="20"/>
      <c r="D83" s="23"/>
      <c r="E83" s="22" t="s">
        <v>45</v>
      </c>
      <c r="F83" s="21" t="s">
        <v>140</v>
      </c>
      <c r="G83" s="25" t="s">
        <v>27</v>
      </c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</row>
    <row r="84">
      <c r="A84" s="26" t="s">
        <v>134</v>
      </c>
      <c r="B84" s="26" t="s">
        <v>142</v>
      </c>
      <c r="C84" s="20"/>
      <c r="D84" s="23"/>
      <c r="E84" s="28" t="s">
        <v>45</v>
      </c>
      <c r="F84" s="27" t="s">
        <v>140</v>
      </c>
      <c r="G84" s="30" t="s">
        <v>27</v>
      </c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</row>
    <row r="85">
      <c r="A85" s="19" t="s">
        <v>134</v>
      </c>
      <c r="B85" s="19" t="s">
        <v>143</v>
      </c>
      <c r="C85" s="20"/>
      <c r="D85" s="23"/>
      <c r="E85" s="22" t="s">
        <v>45</v>
      </c>
      <c r="F85" s="21" t="s">
        <v>140</v>
      </c>
      <c r="G85" s="25" t="s">
        <v>27</v>
      </c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</row>
    <row r="86">
      <c r="A86" s="26" t="s">
        <v>134</v>
      </c>
      <c r="B86" s="26" t="s">
        <v>146</v>
      </c>
      <c r="C86" s="20"/>
      <c r="D86" s="23"/>
      <c r="E86" s="28" t="s">
        <v>45</v>
      </c>
      <c r="F86" s="27" t="s">
        <v>140</v>
      </c>
      <c r="G86" s="30" t="s">
        <v>27</v>
      </c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</row>
    <row r="87">
      <c r="A87" s="19" t="s">
        <v>142</v>
      </c>
      <c r="B87" s="19" t="s">
        <v>148</v>
      </c>
      <c r="C87" s="20"/>
      <c r="D87" s="21" t="s">
        <v>149</v>
      </c>
      <c r="E87" s="22" t="s">
        <v>45</v>
      </c>
      <c r="F87" s="23"/>
      <c r="G87" s="25" t="s">
        <v>27</v>
      </c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</row>
    <row r="88">
      <c r="A88" s="26" t="s">
        <v>142</v>
      </c>
      <c r="B88" s="26" t="s">
        <v>153</v>
      </c>
      <c r="C88" s="20"/>
      <c r="D88" s="27" t="s">
        <v>52</v>
      </c>
      <c r="E88" s="28" t="s">
        <v>45</v>
      </c>
      <c r="F88" s="23"/>
      <c r="G88" s="30" t="s">
        <v>27</v>
      </c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</row>
    <row r="89">
      <c r="A89" s="19" t="s">
        <v>146</v>
      </c>
      <c r="B89" s="19" t="s">
        <v>156</v>
      </c>
      <c r="C89" s="20"/>
      <c r="D89" s="21" t="s">
        <v>44</v>
      </c>
      <c r="E89" s="22" t="s">
        <v>45</v>
      </c>
      <c r="F89" s="23"/>
      <c r="G89" s="25" t="s">
        <v>27</v>
      </c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</row>
    <row r="90">
      <c r="A90" s="26" t="s">
        <v>141</v>
      </c>
      <c r="B90" s="26" t="s">
        <v>158</v>
      </c>
      <c r="C90" s="20"/>
      <c r="D90" s="23"/>
      <c r="E90" s="28" t="s">
        <v>45</v>
      </c>
      <c r="F90" s="27" t="s">
        <v>159</v>
      </c>
      <c r="G90" s="30" t="s">
        <v>27</v>
      </c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</row>
    <row r="91">
      <c r="A91" s="19" t="s">
        <v>141</v>
      </c>
      <c r="B91" s="19" t="s">
        <v>166</v>
      </c>
      <c r="C91" s="20"/>
      <c r="D91" s="23"/>
      <c r="E91" s="22" t="s">
        <v>45</v>
      </c>
      <c r="F91" s="21" t="s">
        <v>159</v>
      </c>
      <c r="G91" s="25" t="s">
        <v>27</v>
      </c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</row>
    <row r="92">
      <c r="A92" s="26" t="s">
        <v>141</v>
      </c>
      <c r="B92" s="26" t="s">
        <v>168</v>
      </c>
      <c r="C92" s="20"/>
      <c r="D92" s="23"/>
      <c r="E92" s="28" t="s">
        <v>45</v>
      </c>
      <c r="F92" s="27" t="s">
        <v>159</v>
      </c>
      <c r="G92" s="30" t="s">
        <v>27</v>
      </c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</row>
    <row r="93">
      <c r="A93" s="19" t="s">
        <v>141</v>
      </c>
      <c r="B93" s="19" t="s">
        <v>171</v>
      </c>
      <c r="C93" s="20"/>
      <c r="D93" s="23"/>
      <c r="E93" s="22" t="s">
        <v>45</v>
      </c>
      <c r="F93" s="21" t="s">
        <v>159</v>
      </c>
      <c r="G93" s="25" t="s">
        <v>27</v>
      </c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</row>
    <row r="94">
      <c r="A94" s="26" t="s">
        <v>141</v>
      </c>
      <c r="B94" s="26" t="s">
        <v>172</v>
      </c>
      <c r="C94" s="20"/>
      <c r="D94" s="23"/>
      <c r="E94" s="28" t="s">
        <v>45</v>
      </c>
      <c r="F94" s="27" t="s">
        <v>159</v>
      </c>
      <c r="G94" s="30" t="s">
        <v>27</v>
      </c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</row>
    <row r="95">
      <c r="A95" s="19" t="s">
        <v>141</v>
      </c>
      <c r="B95" s="19" t="s">
        <v>176</v>
      </c>
      <c r="C95" s="20"/>
      <c r="D95" s="23"/>
      <c r="E95" s="22" t="s">
        <v>45</v>
      </c>
      <c r="F95" s="21" t="s">
        <v>159</v>
      </c>
      <c r="G95" s="25" t="s">
        <v>27</v>
      </c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</row>
    <row r="96">
      <c r="A96" s="26" t="s">
        <v>141</v>
      </c>
      <c r="B96" s="26" t="s">
        <v>178</v>
      </c>
      <c r="C96" s="20"/>
      <c r="D96" s="23"/>
      <c r="E96" s="28" t="s">
        <v>45</v>
      </c>
      <c r="F96" s="27" t="s">
        <v>159</v>
      </c>
      <c r="G96" s="30" t="s">
        <v>27</v>
      </c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</row>
    <row r="97">
      <c r="A97" s="19" t="s">
        <v>141</v>
      </c>
      <c r="B97" s="19" t="s">
        <v>180</v>
      </c>
      <c r="C97" s="20"/>
      <c r="D97" s="23"/>
      <c r="E97" s="22" t="s">
        <v>45</v>
      </c>
      <c r="F97" s="21" t="s">
        <v>159</v>
      </c>
      <c r="G97" s="25" t="s">
        <v>27</v>
      </c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</row>
    <row r="98">
      <c r="A98" s="26" t="s">
        <v>141</v>
      </c>
      <c r="B98" s="26" t="s">
        <v>184</v>
      </c>
      <c r="C98" s="20"/>
      <c r="D98" s="23"/>
      <c r="E98" s="28" t="s">
        <v>45</v>
      </c>
      <c r="F98" s="27" t="s">
        <v>159</v>
      </c>
      <c r="G98" s="30" t="s">
        <v>27</v>
      </c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</row>
    <row r="99">
      <c r="A99" s="19" t="s">
        <v>141</v>
      </c>
      <c r="B99" s="19" t="s">
        <v>185</v>
      </c>
      <c r="C99" s="20"/>
      <c r="D99" s="23"/>
      <c r="E99" s="22" t="s">
        <v>45</v>
      </c>
      <c r="F99" s="21" t="s">
        <v>159</v>
      </c>
      <c r="G99" s="25" t="s">
        <v>27</v>
      </c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</row>
    <row r="100">
      <c r="A100" s="26" t="s">
        <v>141</v>
      </c>
      <c r="B100" s="26" t="s">
        <v>189</v>
      </c>
      <c r="C100" s="20"/>
      <c r="D100" s="23"/>
      <c r="E100" s="28" t="s">
        <v>45</v>
      </c>
      <c r="F100" s="27" t="s">
        <v>159</v>
      </c>
      <c r="G100" s="30" t="s">
        <v>27</v>
      </c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</row>
    <row r="101">
      <c r="A101" s="19" t="s">
        <v>141</v>
      </c>
      <c r="B101" s="19" t="s">
        <v>191</v>
      </c>
      <c r="C101" s="20"/>
      <c r="D101" s="23"/>
      <c r="E101" s="22" t="s">
        <v>45</v>
      </c>
      <c r="F101" s="21" t="s">
        <v>159</v>
      </c>
      <c r="G101" s="25" t="s">
        <v>27</v>
      </c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</row>
    <row r="102">
      <c r="A102" s="26" t="s">
        <v>141</v>
      </c>
      <c r="B102" s="26" t="s">
        <v>193</v>
      </c>
      <c r="C102" s="20"/>
      <c r="D102" s="23"/>
      <c r="E102" s="28" t="s">
        <v>45</v>
      </c>
      <c r="F102" s="27" t="s">
        <v>159</v>
      </c>
      <c r="G102" s="30" t="s">
        <v>27</v>
      </c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</row>
    <row r="103">
      <c r="A103" s="19" t="s">
        <v>141</v>
      </c>
      <c r="B103" s="19" t="s">
        <v>194</v>
      </c>
      <c r="C103" s="20"/>
      <c r="D103" s="23"/>
      <c r="E103" s="22" t="s">
        <v>45</v>
      </c>
      <c r="F103" s="21" t="s">
        <v>159</v>
      </c>
      <c r="G103" s="25" t="s">
        <v>27</v>
      </c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</row>
    <row r="104">
      <c r="A104" s="26" t="s">
        <v>141</v>
      </c>
      <c r="B104" s="26" t="s">
        <v>198</v>
      </c>
      <c r="C104" s="20"/>
      <c r="D104" s="23"/>
      <c r="E104" s="28" t="s">
        <v>45</v>
      </c>
      <c r="F104" s="27" t="s">
        <v>159</v>
      </c>
      <c r="G104" s="30" t="s">
        <v>27</v>
      </c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</row>
    <row r="105">
      <c r="A105" s="19" t="s">
        <v>141</v>
      </c>
      <c r="B105" s="19" t="s">
        <v>199</v>
      </c>
      <c r="C105" s="20"/>
      <c r="D105" s="23"/>
      <c r="E105" s="22" t="s">
        <v>45</v>
      </c>
      <c r="F105" s="21" t="s">
        <v>159</v>
      </c>
      <c r="G105" s="25" t="s">
        <v>27</v>
      </c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</row>
    <row r="106">
      <c r="A106" s="26" t="s">
        <v>191</v>
      </c>
      <c r="B106" s="26" t="s">
        <v>193</v>
      </c>
      <c r="C106" s="20"/>
      <c r="D106" s="27" t="s">
        <v>44</v>
      </c>
      <c r="E106" s="28" t="s">
        <v>45</v>
      </c>
      <c r="F106" s="27" t="s">
        <v>159</v>
      </c>
      <c r="G106" s="30" t="s">
        <v>27</v>
      </c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</row>
    <row r="107">
      <c r="A107" s="19" t="s">
        <v>158</v>
      </c>
      <c r="B107" s="19" t="s">
        <v>201</v>
      </c>
      <c r="C107" s="20"/>
      <c r="D107" s="23"/>
      <c r="E107" s="22" t="s">
        <v>45</v>
      </c>
      <c r="F107" s="21" t="s">
        <v>202</v>
      </c>
      <c r="G107" s="25" t="s">
        <v>27</v>
      </c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</row>
    <row r="108">
      <c r="A108" s="26" t="s">
        <v>158</v>
      </c>
      <c r="B108" s="26" t="s">
        <v>205</v>
      </c>
      <c r="C108" s="20"/>
      <c r="D108" s="27" t="s">
        <v>149</v>
      </c>
      <c r="E108" s="28" t="s">
        <v>45</v>
      </c>
      <c r="F108" s="23"/>
      <c r="G108" s="30" t="s">
        <v>27</v>
      </c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</row>
    <row r="109">
      <c r="A109" s="19" t="s">
        <v>158</v>
      </c>
      <c r="B109" s="19" t="s">
        <v>210</v>
      </c>
      <c r="C109" s="20"/>
      <c r="D109" s="23"/>
      <c r="E109" s="22" t="s">
        <v>45</v>
      </c>
      <c r="F109" s="23"/>
      <c r="G109" s="25" t="s">
        <v>27</v>
      </c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</row>
    <row r="110">
      <c r="A110" s="26" t="s">
        <v>210</v>
      </c>
      <c r="B110" s="26" t="s">
        <v>213</v>
      </c>
      <c r="C110" s="20"/>
      <c r="D110" s="27" t="s">
        <v>44</v>
      </c>
      <c r="E110" s="28" t="s">
        <v>45</v>
      </c>
      <c r="F110" s="23"/>
      <c r="G110" s="30" t="s">
        <v>27</v>
      </c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</row>
    <row r="111">
      <c r="A111" s="19" t="s">
        <v>180</v>
      </c>
      <c r="B111" s="19" t="s">
        <v>216</v>
      </c>
      <c r="C111" s="20"/>
      <c r="D111" s="21" t="s">
        <v>149</v>
      </c>
      <c r="E111" s="22" t="s">
        <v>45</v>
      </c>
      <c r="F111" s="23"/>
      <c r="G111" s="25" t="s">
        <v>27</v>
      </c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</row>
    <row r="112">
      <c r="A112" s="26" t="s">
        <v>194</v>
      </c>
      <c r="B112" s="26" t="s">
        <v>218</v>
      </c>
      <c r="C112" s="20"/>
      <c r="D112" s="23"/>
      <c r="E112" s="28" t="s">
        <v>45</v>
      </c>
      <c r="F112" s="27" t="s">
        <v>159</v>
      </c>
      <c r="G112" s="30" t="s">
        <v>27</v>
      </c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</row>
    <row r="113">
      <c r="A113" s="19" t="s">
        <v>194</v>
      </c>
      <c r="B113" s="19" t="s">
        <v>220</v>
      </c>
      <c r="C113" s="20"/>
      <c r="D113" s="21" t="s">
        <v>125</v>
      </c>
      <c r="E113" s="22" t="s">
        <v>45</v>
      </c>
      <c r="F113" s="23"/>
      <c r="G113" s="25" t="s">
        <v>27</v>
      </c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</row>
    <row r="114">
      <c r="A114" s="26" t="s">
        <v>220</v>
      </c>
      <c r="B114" s="26" t="s">
        <v>222</v>
      </c>
      <c r="C114" s="20"/>
      <c r="D114" s="27" t="s">
        <v>44</v>
      </c>
      <c r="E114" s="28" t="s">
        <v>45</v>
      </c>
      <c r="F114" s="23"/>
      <c r="G114" s="30" t="s">
        <v>27</v>
      </c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</row>
    <row r="115">
      <c r="A115" s="19" t="s">
        <v>220</v>
      </c>
      <c r="B115" s="19" t="s">
        <v>225</v>
      </c>
      <c r="C115" s="20"/>
      <c r="D115" s="21" t="s">
        <v>149</v>
      </c>
      <c r="E115" s="22" t="s">
        <v>45</v>
      </c>
      <c r="F115" s="23"/>
      <c r="G115" s="25" t="s">
        <v>27</v>
      </c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</row>
    <row r="116">
      <c r="A116" s="26" t="s">
        <v>185</v>
      </c>
      <c r="B116" s="26" t="s">
        <v>228</v>
      </c>
      <c r="C116" s="20"/>
      <c r="D116" s="23"/>
      <c r="E116" s="28" t="s">
        <v>45</v>
      </c>
      <c r="F116" s="23"/>
      <c r="G116" s="30" t="s">
        <v>27</v>
      </c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</row>
    <row r="117">
      <c r="A117" s="19" t="s">
        <v>172</v>
      </c>
      <c r="B117" s="19" t="s">
        <v>231</v>
      </c>
      <c r="C117" s="20"/>
      <c r="D117" s="21" t="s">
        <v>52</v>
      </c>
      <c r="E117" s="22" t="s">
        <v>45</v>
      </c>
      <c r="F117" s="21" t="s">
        <v>232</v>
      </c>
      <c r="G117" s="25" t="s">
        <v>27</v>
      </c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</row>
    <row r="118">
      <c r="A118" s="26" t="s">
        <v>172</v>
      </c>
      <c r="B118" s="26" t="s">
        <v>237</v>
      </c>
      <c r="C118" s="20"/>
      <c r="D118" s="27" t="s">
        <v>52</v>
      </c>
      <c r="E118" s="28" t="s">
        <v>45</v>
      </c>
      <c r="F118" s="27" t="s">
        <v>232</v>
      </c>
      <c r="G118" s="30" t="s">
        <v>27</v>
      </c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</row>
    <row r="119">
      <c r="A119" s="19" t="s">
        <v>172</v>
      </c>
      <c r="B119" s="19" t="s">
        <v>239</v>
      </c>
      <c r="C119" s="20"/>
      <c r="D119" s="21" t="s">
        <v>52</v>
      </c>
      <c r="E119" s="22" t="s">
        <v>45</v>
      </c>
      <c r="F119" s="21" t="s">
        <v>232</v>
      </c>
      <c r="G119" s="25" t="s">
        <v>27</v>
      </c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</row>
    <row r="120">
      <c r="A120" s="26" t="s">
        <v>171</v>
      </c>
      <c r="B120" s="26" t="s">
        <v>241</v>
      </c>
      <c r="C120" s="20"/>
      <c r="D120" s="27" t="s">
        <v>149</v>
      </c>
      <c r="E120" s="28" t="s">
        <v>45</v>
      </c>
      <c r="F120" s="23"/>
      <c r="G120" s="30" t="s">
        <v>27</v>
      </c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</row>
    <row r="121">
      <c r="A121" s="19" t="s">
        <v>171</v>
      </c>
      <c r="B121" s="19" t="s">
        <v>243</v>
      </c>
      <c r="C121" s="20"/>
      <c r="D121" s="21" t="s">
        <v>149</v>
      </c>
      <c r="E121" s="22" t="s">
        <v>45</v>
      </c>
      <c r="F121" s="23"/>
      <c r="G121" s="25" t="s">
        <v>27</v>
      </c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</row>
    <row r="122">
      <c r="A122" s="26" t="s">
        <v>241</v>
      </c>
      <c r="B122" s="26" t="s">
        <v>245</v>
      </c>
      <c r="C122" s="20"/>
      <c r="D122" s="27" t="s">
        <v>44</v>
      </c>
      <c r="E122" s="28" t="s">
        <v>45</v>
      </c>
      <c r="F122" s="23"/>
      <c r="G122" s="30" t="s">
        <v>27</v>
      </c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</row>
    <row r="123">
      <c r="A123" s="19" t="s">
        <v>166</v>
      </c>
      <c r="B123" s="19" t="s">
        <v>247</v>
      </c>
      <c r="C123" s="20"/>
      <c r="D123" s="23"/>
      <c r="E123" s="22" t="s">
        <v>45</v>
      </c>
      <c r="F123" s="21" t="s">
        <v>159</v>
      </c>
      <c r="G123" s="25" t="s">
        <v>27</v>
      </c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</row>
    <row r="124">
      <c r="A124" s="26" t="s">
        <v>166</v>
      </c>
      <c r="B124" s="26" t="s">
        <v>249</v>
      </c>
      <c r="C124" s="20"/>
      <c r="D124" s="42"/>
      <c r="E124" s="28" t="s">
        <v>45</v>
      </c>
      <c r="F124" s="28" t="s">
        <v>159</v>
      </c>
      <c r="G124" s="39" t="s">
        <v>27</v>
      </c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</row>
    <row r="125">
      <c r="A125" s="19" t="s">
        <v>166</v>
      </c>
      <c r="B125" s="19" t="s">
        <v>251</v>
      </c>
      <c r="C125" s="20"/>
      <c r="D125" s="42"/>
      <c r="E125" s="22" t="s">
        <v>45</v>
      </c>
      <c r="F125" s="22" t="s">
        <v>159</v>
      </c>
      <c r="G125" s="40" t="s">
        <v>27</v>
      </c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</row>
    <row r="126">
      <c r="A126" s="26" t="s">
        <v>166</v>
      </c>
      <c r="B126" s="26" t="s">
        <v>254</v>
      </c>
      <c r="C126" s="20"/>
      <c r="D126" s="42"/>
      <c r="E126" s="28" t="s">
        <v>45</v>
      </c>
      <c r="F126" s="28" t="s">
        <v>159</v>
      </c>
      <c r="G126" s="39" t="s">
        <v>27</v>
      </c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</row>
    <row r="127">
      <c r="A127" s="19" t="s">
        <v>166</v>
      </c>
      <c r="B127" s="19" t="s">
        <v>257</v>
      </c>
      <c r="C127" s="20"/>
      <c r="D127" s="42"/>
      <c r="E127" s="22" t="s">
        <v>45</v>
      </c>
      <c r="F127" s="22" t="s">
        <v>159</v>
      </c>
      <c r="G127" s="40" t="s">
        <v>27</v>
      </c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</row>
    <row r="128">
      <c r="A128" s="26" t="s">
        <v>166</v>
      </c>
      <c r="B128" s="26" t="s">
        <v>260</v>
      </c>
      <c r="C128" s="23"/>
      <c r="D128" s="42"/>
      <c r="E128" s="28" t="s">
        <v>45</v>
      </c>
      <c r="F128" s="28" t="s">
        <v>159</v>
      </c>
      <c r="G128" s="39" t="s">
        <v>27</v>
      </c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</row>
    <row r="129">
      <c r="A129" s="19" t="s">
        <v>166</v>
      </c>
      <c r="B129" s="19" t="s">
        <v>262</v>
      </c>
      <c r="C129" s="20"/>
      <c r="D129" s="42"/>
      <c r="E129" s="22" t="s">
        <v>45</v>
      </c>
      <c r="F129" s="22" t="s">
        <v>159</v>
      </c>
      <c r="G129" s="40" t="s">
        <v>27</v>
      </c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</row>
    <row r="130">
      <c r="A130" s="26" t="s">
        <v>247</v>
      </c>
      <c r="B130" s="26" t="s">
        <v>265</v>
      </c>
      <c r="C130" s="20"/>
      <c r="D130" s="28" t="s">
        <v>44</v>
      </c>
      <c r="E130" s="28" t="s">
        <v>45</v>
      </c>
      <c r="F130" s="42"/>
      <c r="G130" s="39" t="s">
        <v>27</v>
      </c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</row>
    <row r="131">
      <c r="A131" s="19" t="s">
        <v>247</v>
      </c>
      <c r="B131" s="19" t="s">
        <v>267</v>
      </c>
      <c r="C131" s="20"/>
      <c r="D131" s="22" t="s">
        <v>149</v>
      </c>
      <c r="E131" s="22" t="s">
        <v>45</v>
      </c>
      <c r="F131" s="42"/>
      <c r="G131" s="40" t="s">
        <v>27</v>
      </c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</row>
    <row r="132">
      <c r="A132" s="26" t="s">
        <v>247</v>
      </c>
      <c r="B132" s="26" t="s">
        <v>268</v>
      </c>
      <c r="C132" s="20"/>
      <c r="D132" s="28" t="s">
        <v>149</v>
      </c>
      <c r="E132" s="28" t="s">
        <v>45</v>
      </c>
      <c r="F132" s="42"/>
      <c r="G132" s="39" t="s">
        <v>27</v>
      </c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</row>
    <row r="133">
      <c r="A133" s="19" t="s">
        <v>267</v>
      </c>
      <c r="B133" s="19" t="s">
        <v>269</v>
      </c>
      <c r="C133" s="20"/>
      <c r="D133" s="22" t="s">
        <v>44</v>
      </c>
      <c r="E133" s="22" t="s">
        <v>45</v>
      </c>
      <c r="F133" s="42"/>
      <c r="G133" s="40" t="s">
        <v>27</v>
      </c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</row>
    <row r="134">
      <c r="A134" s="26" t="s">
        <v>249</v>
      </c>
      <c r="B134" s="26" t="s">
        <v>270</v>
      </c>
      <c r="C134" s="20"/>
      <c r="D134" s="28" t="s">
        <v>44</v>
      </c>
      <c r="E134" s="28" t="s">
        <v>45</v>
      </c>
      <c r="F134" s="42"/>
      <c r="G134" s="39" t="s">
        <v>27</v>
      </c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</row>
    <row r="135">
      <c r="A135" s="19" t="s">
        <v>254</v>
      </c>
      <c r="B135" s="19" t="s">
        <v>272</v>
      </c>
      <c r="C135" s="20"/>
      <c r="D135" s="42"/>
      <c r="E135" s="22" t="s">
        <v>45</v>
      </c>
      <c r="F135" s="42"/>
      <c r="G135" s="40" t="s">
        <v>27</v>
      </c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</row>
    <row r="136">
      <c r="A136" s="26" t="s">
        <v>254</v>
      </c>
      <c r="B136" s="26" t="s">
        <v>276</v>
      </c>
      <c r="C136" s="20"/>
      <c r="D136" s="42"/>
      <c r="E136" s="28" t="s">
        <v>45</v>
      </c>
      <c r="F136" s="28" t="s">
        <v>277</v>
      </c>
      <c r="G136" s="39" t="s">
        <v>27</v>
      </c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</row>
    <row r="137">
      <c r="A137" s="19" t="s">
        <v>189</v>
      </c>
      <c r="B137" s="19" t="s">
        <v>279</v>
      </c>
      <c r="C137" s="20"/>
      <c r="D137" s="42"/>
      <c r="E137" s="22" t="s">
        <v>45</v>
      </c>
      <c r="F137" s="22" t="s">
        <v>281</v>
      </c>
      <c r="G137" s="40" t="s">
        <v>27</v>
      </c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</row>
    <row r="138">
      <c r="A138" s="26" t="s">
        <v>189</v>
      </c>
      <c r="B138" s="26" t="s">
        <v>285</v>
      </c>
      <c r="C138" s="20"/>
      <c r="D138" s="42"/>
      <c r="E138" s="28" t="s">
        <v>45</v>
      </c>
      <c r="F138" s="28" t="s">
        <v>281</v>
      </c>
      <c r="G138" s="39" t="s">
        <v>27</v>
      </c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</row>
    <row r="139">
      <c r="A139" s="19" t="s">
        <v>189</v>
      </c>
      <c r="B139" s="19" t="s">
        <v>292</v>
      </c>
      <c r="C139" s="20"/>
      <c r="D139" s="42"/>
      <c r="E139" s="22" t="s">
        <v>45</v>
      </c>
      <c r="F139" s="22" t="s">
        <v>281</v>
      </c>
      <c r="G139" s="40" t="s">
        <v>27</v>
      </c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</row>
    <row r="140">
      <c r="A140" s="26" t="s">
        <v>279</v>
      </c>
      <c r="B140" s="26" t="s">
        <v>297</v>
      </c>
      <c r="C140" s="20"/>
      <c r="D140" s="42"/>
      <c r="E140" s="28" t="s">
        <v>45</v>
      </c>
      <c r="F140" s="28" t="s">
        <v>281</v>
      </c>
      <c r="G140" s="39" t="s">
        <v>27</v>
      </c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</row>
    <row r="141">
      <c r="A141" s="19" t="s">
        <v>279</v>
      </c>
      <c r="B141" s="19" t="s">
        <v>306</v>
      </c>
      <c r="C141" s="20"/>
      <c r="D141" s="42"/>
      <c r="E141" s="22" t="s">
        <v>45</v>
      </c>
      <c r="F141" s="22" t="s">
        <v>281</v>
      </c>
      <c r="G141" s="40" t="s">
        <v>27</v>
      </c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</row>
    <row r="142">
      <c r="A142" s="26" t="s">
        <v>279</v>
      </c>
      <c r="B142" s="26" t="s">
        <v>309</v>
      </c>
      <c r="C142" s="20"/>
      <c r="D142" s="42"/>
      <c r="E142" s="28" t="s">
        <v>45</v>
      </c>
      <c r="F142" s="28" t="s">
        <v>281</v>
      </c>
      <c r="G142" s="39" t="s">
        <v>27</v>
      </c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</row>
    <row r="143">
      <c r="A143" s="19" t="s">
        <v>279</v>
      </c>
      <c r="B143" s="19" t="s">
        <v>312</v>
      </c>
      <c r="C143" s="20"/>
      <c r="D143" s="42"/>
      <c r="E143" s="22" t="s">
        <v>45</v>
      </c>
      <c r="F143" s="22" t="s">
        <v>281</v>
      </c>
      <c r="G143" s="40" t="s">
        <v>27</v>
      </c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</row>
    <row r="144">
      <c r="A144" s="26" t="s">
        <v>297</v>
      </c>
      <c r="B144" s="26" t="s">
        <v>314</v>
      </c>
      <c r="C144" s="20"/>
      <c r="D144" s="28" t="s">
        <v>44</v>
      </c>
      <c r="E144" s="28" t="s">
        <v>45</v>
      </c>
      <c r="F144" s="42"/>
      <c r="G144" s="39" t="s">
        <v>27</v>
      </c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</row>
    <row r="145">
      <c r="A145" s="19" t="s">
        <v>297</v>
      </c>
      <c r="B145" s="19" t="s">
        <v>315</v>
      </c>
      <c r="C145" s="20"/>
      <c r="D145" s="42"/>
      <c r="E145" s="22" t="s">
        <v>45</v>
      </c>
      <c r="F145" s="22" t="s">
        <v>316</v>
      </c>
      <c r="G145" s="40" t="s">
        <v>27</v>
      </c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</row>
    <row r="146">
      <c r="A146" s="26" t="s">
        <v>285</v>
      </c>
      <c r="B146" s="26" t="s">
        <v>320</v>
      </c>
      <c r="C146" s="20"/>
      <c r="D146" s="42"/>
      <c r="E146" s="28" t="s">
        <v>45</v>
      </c>
      <c r="F146" s="28" t="s">
        <v>321</v>
      </c>
      <c r="G146" s="39" t="s">
        <v>27</v>
      </c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</row>
    <row r="147">
      <c r="A147" s="19" t="s">
        <v>285</v>
      </c>
      <c r="B147" s="19" t="s">
        <v>324</v>
      </c>
      <c r="C147" s="20"/>
      <c r="D147" s="42"/>
      <c r="E147" s="22" t="s">
        <v>45</v>
      </c>
      <c r="F147" s="22" t="s">
        <v>321</v>
      </c>
      <c r="G147" s="40" t="s">
        <v>27</v>
      </c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</row>
    <row r="148">
      <c r="A148" s="26" t="s">
        <v>324</v>
      </c>
      <c r="B148" s="26" t="s">
        <v>329</v>
      </c>
      <c r="C148" s="20"/>
      <c r="D148" s="28" t="s">
        <v>125</v>
      </c>
      <c r="E148" s="28" t="s">
        <v>45</v>
      </c>
      <c r="F148" s="42"/>
      <c r="G148" s="39" t="s">
        <v>27</v>
      </c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</row>
    <row r="149">
      <c r="A149" s="19" t="s">
        <v>331</v>
      </c>
      <c r="B149" s="19" t="s">
        <v>332</v>
      </c>
      <c r="C149" s="20"/>
      <c r="D149" s="22" t="s">
        <v>44</v>
      </c>
      <c r="E149" s="22" t="s">
        <v>45</v>
      </c>
      <c r="F149" s="42"/>
      <c r="G149" s="40" t="s">
        <v>27</v>
      </c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</row>
    <row r="150">
      <c r="A150" s="26" t="s">
        <v>333</v>
      </c>
      <c r="B150" s="26" t="s">
        <v>334</v>
      </c>
      <c r="C150" s="20"/>
      <c r="D150" s="28" t="s">
        <v>44</v>
      </c>
      <c r="E150" s="28" t="s">
        <v>45</v>
      </c>
      <c r="F150" s="42"/>
      <c r="G150" s="39" t="s">
        <v>27</v>
      </c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</row>
    <row r="151">
      <c r="A151" s="19" t="s">
        <v>333</v>
      </c>
      <c r="B151" s="19" t="s">
        <v>336</v>
      </c>
      <c r="C151" s="20"/>
      <c r="D151" s="22" t="s">
        <v>125</v>
      </c>
      <c r="E151" s="22" t="s">
        <v>45</v>
      </c>
      <c r="F151" s="42"/>
      <c r="G151" s="25" t="s">
        <v>27</v>
      </c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</row>
    <row r="152">
      <c r="A152" s="27" t="s">
        <v>337</v>
      </c>
      <c r="B152" s="27" t="s">
        <v>338</v>
      </c>
      <c r="C152" s="60"/>
      <c r="D152" s="28" t="s">
        <v>44</v>
      </c>
      <c r="E152" s="28" t="s">
        <v>45</v>
      </c>
      <c r="F152" s="42"/>
      <c r="G152" s="30" t="s">
        <v>27</v>
      </c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</row>
    <row r="153">
      <c r="A153" s="21" t="s">
        <v>337</v>
      </c>
      <c r="B153" s="21" t="s">
        <v>340</v>
      </c>
      <c r="C153" s="60"/>
      <c r="D153" s="42"/>
      <c r="E153" s="22" t="s">
        <v>45</v>
      </c>
      <c r="F153" s="22" t="s">
        <v>132</v>
      </c>
      <c r="G153" s="25" t="s">
        <v>27</v>
      </c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</row>
    <row r="154">
      <c r="A154" s="27" t="s">
        <v>342</v>
      </c>
      <c r="B154" s="27" t="s">
        <v>343</v>
      </c>
      <c r="C154" s="60"/>
      <c r="D154" s="28" t="s">
        <v>44</v>
      </c>
      <c r="E154" s="28" t="s">
        <v>45</v>
      </c>
      <c r="F154" s="42"/>
      <c r="G154" s="30" t="s">
        <v>27</v>
      </c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</row>
    <row r="155">
      <c r="A155" s="19" t="s">
        <v>345</v>
      </c>
      <c r="B155" s="19" t="s">
        <v>346</v>
      </c>
      <c r="C155" s="20"/>
      <c r="D155" s="22" t="s">
        <v>44</v>
      </c>
      <c r="E155" s="22" t="s">
        <v>45</v>
      </c>
      <c r="F155" s="42"/>
      <c r="G155" s="25" t="s">
        <v>27</v>
      </c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</row>
    <row r="156">
      <c r="A156" s="26" t="s">
        <v>348</v>
      </c>
      <c r="B156" s="26" t="s">
        <v>349</v>
      </c>
      <c r="C156" s="20"/>
      <c r="D156" s="28" t="s">
        <v>44</v>
      </c>
      <c r="E156" s="28" t="s">
        <v>45</v>
      </c>
      <c r="F156" s="42"/>
      <c r="G156" s="30" t="s">
        <v>27</v>
      </c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</row>
    <row r="157">
      <c r="A157" s="19" t="s">
        <v>350</v>
      </c>
      <c r="B157" s="19" t="s">
        <v>351</v>
      </c>
      <c r="C157" s="20"/>
      <c r="D157" s="22" t="s">
        <v>44</v>
      </c>
      <c r="E157" s="22" t="s">
        <v>45</v>
      </c>
      <c r="F157" s="42"/>
      <c r="G157" s="25" t="s">
        <v>27</v>
      </c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</row>
    <row r="158">
      <c r="A158" s="26" t="s">
        <v>350</v>
      </c>
      <c r="B158" s="26" t="s">
        <v>357</v>
      </c>
      <c r="C158" s="20"/>
      <c r="D158" s="28" t="s">
        <v>149</v>
      </c>
      <c r="E158" s="28" t="s">
        <v>45</v>
      </c>
      <c r="F158" s="42"/>
      <c r="G158" s="30" t="s">
        <v>27</v>
      </c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</row>
    <row r="159">
      <c r="A159" s="19" t="s">
        <v>363</v>
      </c>
      <c r="B159" s="19" t="s">
        <v>364</v>
      </c>
      <c r="C159" s="20"/>
      <c r="D159" s="22" t="s">
        <v>149</v>
      </c>
      <c r="E159" s="22" t="s">
        <v>45</v>
      </c>
      <c r="F159" s="42"/>
      <c r="G159" s="25" t="s">
        <v>27</v>
      </c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</row>
    <row r="160">
      <c r="A160" s="26" t="s">
        <v>366</v>
      </c>
      <c r="B160" s="26" t="s">
        <v>367</v>
      </c>
      <c r="C160" s="20"/>
      <c r="D160" s="28" t="s">
        <v>44</v>
      </c>
      <c r="E160" s="28" t="s">
        <v>45</v>
      </c>
      <c r="F160" s="42"/>
      <c r="G160" s="39" t="s">
        <v>27</v>
      </c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</row>
    <row r="161">
      <c r="A161" s="19" t="s">
        <v>346</v>
      </c>
      <c r="B161" s="19" t="s">
        <v>370</v>
      </c>
      <c r="C161" s="62"/>
      <c r="D161" s="22" t="s">
        <v>44</v>
      </c>
      <c r="E161" s="22" t="s">
        <v>45</v>
      </c>
      <c r="F161" s="42"/>
      <c r="G161" s="40" t="s">
        <v>27</v>
      </c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</row>
    <row r="162">
      <c r="A162" s="26" t="s">
        <v>346</v>
      </c>
      <c r="B162" s="26" t="s">
        <v>377</v>
      </c>
      <c r="C162" s="62"/>
      <c r="D162" s="28" t="s">
        <v>149</v>
      </c>
      <c r="E162" s="28" t="s">
        <v>45</v>
      </c>
      <c r="F162" s="42"/>
      <c r="G162" s="39" t="s">
        <v>27</v>
      </c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</row>
    <row r="163">
      <c r="A163" s="19" t="s">
        <v>379</v>
      </c>
      <c r="B163" s="19" t="s">
        <v>382</v>
      </c>
      <c r="C163" s="62"/>
      <c r="D163" s="42"/>
      <c r="E163" s="22" t="s">
        <v>45</v>
      </c>
      <c r="F163" s="22" t="s">
        <v>383</v>
      </c>
      <c r="G163" s="40" t="s">
        <v>27</v>
      </c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</row>
    <row r="164">
      <c r="A164" s="26" t="s">
        <v>388</v>
      </c>
      <c r="B164" s="26" t="s">
        <v>389</v>
      </c>
      <c r="C164" s="62"/>
      <c r="D164" s="42"/>
      <c r="E164" s="28" t="s">
        <v>45</v>
      </c>
      <c r="F164" s="28" t="s">
        <v>390</v>
      </c>
      <c r="G164" s="39" t="s">
        <v>27</v>
      </c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</row>
    <row r="165">
      <c r="A165" s="19" t="s">
        <v>392</v>
      </c>
      <c r="B165" s="22" t="s">
        <v>393</v>
      </c>
      <c r="C165" s="62"/>
      <c r="D165" s="22" t="s">
        <v>44</v>
      </c>
      <c r="E165" s="22" t="s">
        <v>45</v>
      </c>
      <c r="F165" s="42"/>
      <c r="G165" s="40" t="s">
        <v>27</v>
      </c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</row>
    <row r="166">
      <c r="A166" s="26" t="s">
        <v>394</v>
      </c>
      <c r="B166" s="26" t="s">
        <v>395</v>
      </c>
      <c r="C166" s="62"/>
      <c r="D166" s="28" t="s">
        <v>30</v>
      </c>
      <c r="E166" s="28" t="s">
        <v>45</v>
      </c>
      <c r="F166" s="28" t="s">
        <v>396</v>
      </c>
      <c r="G166" s="39" t="s">
        <v>27</v>
      </c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</row>
  </sheetData>
  <hyperlinks>
    <hyperlink r:id="rId2" ref="A16"/>
    <hyperlink r:id="rId3" ref="G39"/>
    <hyperlink r:id="rId4" ref="G40"/>
    <hyperlink r:id="rId5" ref="G41"/>
    <hyperlink r:id="rId6" ref="G42"/>
    <hyperlink r:id="rId7" ref="G43"/>
    <hyperlink r:id="rId8" ref="G44"/>
    <hyperlink r:id="rId9" ref="G45"/>
    <hyperlink r:id="rId10" ref="G46"/>
    <hyperlink r:id="rId11" ref="G47"/>
    <hyperlink r:id="rId12" ref="G48"/>
    <hyperlink r:id="rId13" ref="G49"/>
    <hyperlink r:id="rId14" ref="G50"/>
    <hyperlink r:id="rId15" ref="G51"/>
    <hyperlink r:id="rId16" ref="G52"/>
    <hyperlink r:id="rId17" ref="G53"/>
    <hyperlink r:id="rId18" ref="G54"/>
    <hyperlink r:id="rId19" ref="G55"/>
    <hyperlink r:id="rId20" ref="G56"/>
    <hyperlink r:id="rId21" ref="G57"/>
    <hyperlink r:id="rId22" ref="G58"/>
    <hyperlink r:id="rId23" ref="G59"/>
    <hyperlink r:id="rId24" ref="G60"/>
    <hyperlink r:id="rId25" ref="G61"/>
    <hyperlink r:id="rId26" ref="G62"/>
    <hyperlink r:id="rId27" ref="G63"/>
    <hyperlink r:id="rId28" ref="G64"/>
    <hyperlink r:id="rId29" ref="G65"/>
    <hyperlink r:id="rId30" ref="G66"/>
    <hyperlink r:id="rId31" ref="G67"/>
    <hyperlink r:id="rId32" ref="G68"/>
    <hyperlink r:id="rId33" ref="G69"/>
    <hyperlink r:id="rId34" ref="G70"/>
    <hyperlink r:id="rId35" ref="G71"/>
    <hyperlink r:id="rId36" ref="G72"/>
    <hyperlink r:id="rId37" ref="G73"/>
    <hyperlink r:id="rId38" ref="G74"/>
    <hyperlink r:id="rId39" ref="G75"/>
    <hyperlink r:id="rId40" ref="G76"/>
    <hyperlink r:id="rId41" ref="G77"/>
    <hyperlink r:id="rId42" ref="G78"/>
    <hyperlink r:id="rId43" ref="G79"/>
    <hyperlink r:id="rId44" ref="G80"/>
    <hyperlink r:id="rId45" ref="G81"/>
    <hyperlink r:id="rId46" ref="G82"/>
    <hyperlink r:id="rId47" ref="G83"/>
    <hyperlink r:id="rId48" ref="G84"/>
    <hyperlink r:id="rId49" ref="G85"/>
    <hyperlink r:id="rId50" ref="G86"/>
    <hyperlink r:id="rId51" ref="G87"/>
    <hyperlink r:id="rId52" ref="G88"/>
    <hyperlink r:id="rId53" ref="G89"/>
    <hyperlink r:id="rId54" ref="G90"/>
    <hyperlink r:id="rId55" ref="G91"/>
    <hyperlink r:id="rId56" ref="G92"/>
    <hyperlink r:id="rId57" ref="G93"/>
    <hyperlink r:id="rId58" ref="G94"/>
    <hyperlink r:id="rId59" ref="G95"/>
    <hyperlink r:id="rId60" ref="G96"/>
    <hyperlink r:id="rId61" ref="G97"/>
    <hyperlink r:id="rId62" ref="G98"/>
    <hyperlink r:id="rId63" ref="G99"/>
    <hyperlink r:id="rId64" ref="G100"/>
    <hyperlink r:id="rId65" ref="G101"/>
    <hyperlink r:id="rId66" ref="G102"/>
    <hyperlink r:id="rId67" ref="G103"/>
    <hyperlink r:id="rId68" ref="G104"/>
    <hyperlink r:id="rId69" ref="G105"/>
    <hyperlink r:id="rId70" ref="G106"/>
    <hyperlink r:id="rId71" ref="G107"/>
    <hyperlink r:id="rId72" ref="G108"/>
    <hyperlink r:id="rId73" ref="G109"/>
    <hyperlink r:id="rId74" ref="G110"/>
    <hyperlink r:id="rId75" ref="G111"/>
    <hyperlink r:id="rId76" ref="G112"/>
    <hyperlink r:id="rId77" ref="G113"/>
    <hyperlink r:id="rId78" ref="G114"/>
    <hyperlink r:id="rId79" ref="G115"/>
    <hyperlink r:id="rId80" ref="G116"/>
    <hyperlink r:id="rId81" ref="G117"/>
    <hyperlink r:id="rId82" ref="G118"/>
    <hyperlink r:id="rId83" ref="G119"/>
    <hyperlink r:id="rId84" ref="G120"/>
    <hyperlink r:id="rId85" ref="G121"/>
    <hyperlink r:id="rId86" ref="G122"/>
    <hyperlink r:id="rId87" ref="G123"/>
    <hyperlink r:id="rId88" ref="G124"/>
    <hyperlink r:id="rId89" ref="G125"/>
    <hyperlink r:id="rId90" ref="G126"/>
    <hyperlink r:id="rId91" ref="G127"/>
    <hyperlink r:id="rId92" ref="G128"/>
    <hyperlink r:id="rId93" ref="G129"/>
    <hyperlink r:id="rId94" ref="G130"/>
    <hyperlink r:id="rId95" ref="G131"/>
    <hyperlink r:id="rId96" ref="G132"/>
    <hyperlink r:id="rId97" ref="G133"/>
    <hyperlink r:id="rId98" ref="G134"/>
    <hyperlink r:id="rId99" ref="G135"/>
    <hyperlink r:id="rId100" ref="G136"/>
    <hyperlink r:id="rId101" ref="G137"/>
    <hyperlink r:id="rId102" ref="G138"/>
    <hyperlink r:id="rId103" ref="G139"/>
    <hyperlink r:id="rId104" ref="G140"/>
    <hyperlink r:id="rId105" ref="G141"/>
    <hyperlink r:id="rId106" ref="G142"/>
    <hyperlink r:id="rId107" ref="G143"/>
    <hyperlink r:id="rId108" ref="G144"/>
    <hyperlink r:id="rId109" ref="G145"/>
    <hyperlink r:id="rId110" ref="G146"/>
    <hyperlink r:id="rId111" ref="G147"/>
    <hyperlink r:id="rId112" ref="G148"/>
    <hyperlink r:id="rId113" ref="G149"/>
    <hyperlink r:id="rId114" ref="G150"/>
    <hyperlink r:id="rId115" ref="G151"/>
    <hyperlink r:id="rId116" ref="G152"/>
    <hyperlink r:id="rId117" ref="G153"/>
    <hyperlink r:id="rId118" ref="G154"/>
    <hyperlink r:id="rId119" ref="G155"/>
    <hyperlink r:id="rId120" ref="G156"/>
    <hyperlink r:id="rId121" ref="G157"/>
    <hyperlink r:id="rId122" ref="G158"/>
    <hyperlink r:id="rId123" ref="G159"/>
    <hyperlink r:id="rId124" ref="G160"/>
    <hyperlink r:id="rId125" ref="G161"/>
    <hyperlink r:id="rId126" ref="G162"/>
    <hyperlink r:id="rId127" ref="G163"/>
    <hyperlink r:id="rId128" ref="G164"/>
    <hyperlink r:id="rId129" ref="G165"/>
    <hyperlink r:id="rId130" ref="G166"/>
  </hyperlinks>
  <drawing r:id="rId131"/>
  <legacyDrawing r:id="rId13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>
      <pane xSplit="2.0" ySplit="1.0" topLeftCell="C2" activePane="bottomRight" state="frozen"/>
      <selection activeCell="C1" sqref="C1" pane="topRight"/>
      <selection activeCell="A2" sqref="A2" pane="bottomLeft"/>
      <selection activeCell="C2" sqref="C2" pane="bottomRight"/>
    </sheetView>
  </sheetViews>
  <sheetFormatPr customHeight="1" defaultColWidth="14.43" defaultRowHeight="15.75"/>
  <cols>
    <col customWidth="1" min="6" max="6" width="38.43"/>
    <col customWidth="1" min="7" max="7" width="81.86"/>
    <col hidden="1" min="9" max="12" width="14.43"/>
  </cols>
  <sheetData>
    <row r="1">
      <c r="A1" s="1" t="s">
        <v>0</v>
      </c>
      <c r="B1" s="3" t="s">
        <v>1</v>
      </c>
      <c r="C1" s="1" t="s">
        <v>3</v>
      </c>
      <c r="D1" s="1" t="s">
        <v>4</v>
      </c>
      <c r="E1" s="1" t="s">
        <v>5</v>
      </c>
      <c r="F1" s="3" t="s">
        <v>6</v>
      </c>
      <c r="G1" s="3" t="s">
        <v>7</v>
      </c>
      <c r="I1" s="6" t="s">
        <v>8</v>
      </c>
      <c r="J1" s="6" t="s">
        <v>9</v>
      </c>
      <c r="K1" s="6" t="s">
        <v>10</v>
      </c>
      <c r="L1" s="6" t="s">
        <v>12</v>
      </c>
    </row>
    <row r="2">
      <c r="A2" s="7" t="s">
        <v>13</v>
      </c>
      <c r="B2" s="8" t="s">
        <v>14</v>
      </c>
      <c r="C2" s="9"/>
      <c r="D2" s="10" t="s">
        <v>18</v>
      </c>
      <c r="E2" s="10" t="s">
        <v>20</v>
      </c>
      <c r="F2" s="11" t="s">
        <v>21</v>
      </c>
      <c r="G2" s="12" t="s">
        <v>22</v>
      </c>
      <c r="I2" s="13">
        <f>IFERROR(__xludf.DUMMYFUNCTION("if(isblank(A2),,split(A2,""-""))"),39.0)</f>
        <v>39</v>
      </c>
      <c r="J2" s="13">
        <f>IFERROR(__xludf.DUMMYFUNCTION("""COMPUTED_VALUE"""),20.0)</f>
        <v>20</v>
      </c>
      <c r="K2" s="13">
        <f>IFERROR(__xludf.DUMMYFUNCTION("if(isblank(B2),,split(B2,""-""))"),39.0)</f>
        <v>39</v>
      </c>
      <c r="L2" s="13">
        <f>IFERROR(__xludf.DUMMYFUNCTION("""COMPUTED_VALUE"""),34.0)</f>
        <v>34</v>
      </c>
    </row>
    <row r="3">
      <c r="A3" s="7" t="s">
        <v>28</v>
      </c>
      <c r="B3" s="8" t="s">
        <v>29</v>
      </c>
      <c r="C3" s="9"/>
      <c r="D3" s="10" t="s">
        <v>30</v>
      </c>
      <c r="E3" s="10" t="s">
        <v>20</v>
      </c>
      <c r="F3" s="11" t="s">
        <v>31</v>
      </c>
      <c r="G3" s="12" t="s">
        <v>22</v>
      </c>
      <c r="I3" s="13">
        <f>IFERROR(__xludf.DUMMYFUNCTION("if(isblank(A3),,split(A3,""-""))"),39.0)</f>
        <v>39</v>
      </c>
      <c r="J3" s="13">
        <f>IFERROR(__xludf.DUMMYFUNCTION("""COMPUTED_VALUE"""),23.0)</f>
        <v>23</v>
      </c>
      <c r="K3" s="13">
        <f>IFERROR(__xludf.DUMMYFUNCTION("if(isblank(B3),,split(B3,""-""))"),39.0)</f>
        <v>39</v>
      </c>
      <c r="L3" s="13">
        <f>IFERROR(__xludf.DUMMYFUNCTION("""COMPUTED_VALUE"""),37.0)</f>
        <v>37</v>
      </c>
    </row>
    <row r="4">
      <c r="A4" s="7" t="s">
        <v>32</v>
      </c>
      <c r="B4" s="8" t="s">
        <v>14</v>
      </c>
      <c r="C4" s="9"/>
      <c r="D4" s="10" t="s">
        <v>18</v>
      </c>
      <c r="E4" s="10" t="s">
        <v>20</v>
      </c>
      <c r="F4" s="11" t="s">
        <v>21</v>
      </c>
      <c r="G4" s="12" t="s">
        <v>22</v>
      </c>
      <c r="I4" s="13">
        <f>IFERROR(__xludf.DUMMYFUNCTION("if(isblank(A4),,split(A4,""-""))"),39.0)</f>
        <v>39</v>
      </c>
      <c r="J4" s="13">
        <f>IFERROR(__xludf.DUMMYFUNCTION("""COMPUTED_VALUE"""),24.0)</f>
        <v>24</v>
      </c>
      <c r="K4" s="13">
        <f>IFERROR(__xludf.DUMMYFUNCTION("if(isblank(B4),,split(B4,""-""))"),39.0)</f>
        <v>39</v>
      </c>
      <c r="L4" s="13">
        <f>IFERROR(__xludf.DUMMYFUNCTION("""COMPUTED_VALUE"""),34.0)</f>
        <v>34</v>
      </c>
    </row>
    <row r="5">
      <c r="A5" s="7" t="s">
        <v>33</v>
      </c>
      <c r="B5" s="8" t="s">
        <v>34</v>
      </c>
      <c r="C5" s="9"/>
      <c r="D5" s="10" t="s">
        <v>35</v>
      </c>
      <c r="E5" s="10" t="s">
        <v>20</v>
      </c>
      <c r="F5" s="11" t="s">
        <v>36</v>
      </c>
      <c r="G5" s="12" t="s">
        <v>37</v>
      </c>
      <c r="I5" s="13">
        <f>IFERROR(__xludf.DUMMYFUNCTION("if(isblank(A5),,split(A5,""-""))"),39.0)</f>
        <v>39</v>
      </c>
      <c r="J5" s="13">
        <f>IFERROR(__xludf.DUMMYFUNCTION("""COMPUTED_VALUE"""),26.0)</f>
        <v>26</v>
      </c>
      <c r="K5" s="13">
        <f>IFERROR(__xludf.DUMMYFUNCTION("if(isblank(B5),,split(B5,""-""))"),39.0)</f>
        <v>39</v>
      </c>
      <c r="L5" s="13">
        <f>IFERROR(__xludf.DUMMYFUNCTION("""COMPUTED_VALUE"""),54.0)</f>
        <v>54</v>
      </c>
    </row>
    <row r="6">
      <c r="A6" s="15" t="s">
        <v>14</v>
      </c>
      <c r="B6" s="16" t="s">
        <v>38</v>
      </c>
      <c r="C6" s="9"/>
      <c r="D6" s="10" t="s">
        <v>39</v>
      </c>
      <c r="E6" s="17" t="s">
        <v>20</v>
      </c>
      <c r="F6" s="11" t="s">
        <v>21</v>
      </c>
      <c r="G6" s="11" t="s">
        <v>41</v>
      </c>
      <c r="I6" s="13">
        <f>IFERROR(__xludf.DUMMYFUNCTION("if(isblank(A6),,split(A6,""-""))"),39.0)</f>
        <v>39</v>
      </c>
      <c r="J6" s="13">
        <f>IFERROR(__xludf.DUMMYFUNCTION("""COMPUTED_VALUE"""),34.0)</f>
        <v>34</v>
      </c>
      <c r="K6" s="13">
        <f>IFERROR(__xludf.DUMMYFUNCTION("if(isblank(B6),,split(B6,""-""))"),39.0)</f>
        <v>39</v>
      </c>
      <c r="L6" s="13">
        <f>IFERROR(__xludf.DUMMYFUNCTION("""COMPUTED_VALUE"""),48.0)</f>
        <v>48</v>
      </c>
    </row>
    <row r="7">
      <c r="A7" s="15" t="s">
        <v>14</v>
      </c>
      <c r="B7" s="16" t="s">
        <v>46</v>
      </c>
      <c r="C7" s="9"/>
      <c r="D7" s="10" t="s">
        <v>47</v>
      </c>
      <c r="E7" s="17" t="s">
        <v>20</v>
      </c>
      <c r="F7" s="24"/>
      <c r="G7" s="11" t="s">
        <v>41</v>
      </c>
      <c r="I7" s="13">
        <f>IFERROR(__xludf.DUMMYFUNCTION("if(isblank(A7),,split(A7,""-""))"),39.0)</f>
        <v>39</v>
      </c>
      <c r="J7" s="13">
        <f>IFERROR(__xludf.DUMMYFUNCTION("""COMPUTED_VALUE"""),34.0)</f>
        <v>34</v>
      </c>
      <c r="K7" s="13">
        <f>IFERROR(__xludf.DUMMYFUNCTION("if(isblank(B7),,split(B7,""-""))"),39.0)</f>
        <v>39</v>
      </c>
      <c r="L7" s="13">
        <f>IFERROR(__xludf.DUMMYFUNCTION("""COMPUTED_VALUE"""),49.0)</f>
        <v>49</v>
      </c>
    </row>
    <row r="8">
      <c r="A8" s="7" t="s">
        <v>14</v>
      </c>
      <c r="B8" s="8" t="s">
        <v>48</v>
      </c>
      <c r="C8" s="9"/>
      <c r="D8" s="10" t="s">
        <v>18</v>
      </c>
      <c r="E8" s="10" t="s">
        <v>20</v>
      </c>
      <c r="F8" s="11" t="s">
        <v>21</v>
      </c>
      <c r="G8" s="11" t="s">
        <v>49</v>
      </c>
      <c r="I8" s="13">
        <f>IFERROR(__xludf.DUMMYFUNCTION("if(isblank(A8),,split(A8,""-""))"),39.0)</f>
        <v>39</v>
      </c>
      <c r="J8" s="13">
        <f>IFERROR(__xludf.DUMMYFUNCTION("""COMPUTED_VALUE"""),34.0)</f>
        <v>34</v>
      </c>
      <c r="K8" s="13">
        <f>IFERROR(__xludf.DUMMYFUNCTION("if(isblank(B8),,split(B8,""-""))"),39.0)</f>
        <v>39</v>
      </c>
      <c r="L8" s="13">
        <f>IFERROR(__xludf.DUMMYFUNCTION("""COMPUTED_VALUE"""),51.0)</f>
        <v>51</v>
      </c>
    </row>
    <row r="9">
      <c r="A9" s="7" t="s">
        <v>14</v>
      </c>
      <c r="B9" s="8" t="s">
        <v>51</v>
      </c>
      <c r="C9" s="9"/>
      <c r="D9" s="10" t="s">
        <v>18</v>
      </c>
      <c r="E9" s="10" t="s">
        <v>20</v>
      </c>
      <c r="F9" s="11" t="s">
        <v>21</v>
      </c>
      <c r="G9" s="11" t="s">
        <v>49</v>
      </c>
      <c r="I9" s="13">
        <f>IFERROR(__xludf.DUMMYFUNCTION("if(isblank(A9),,split(A9,""-""))"),39.0)</f>
        <v>39</v>
      </c>
      <c r="J9" s="13">
        <f>IFERROR(__xludf.DUMMYFUNCTION("""COMPUTED_VALUE"""),34.0)</f>
        <v>34</v>
      </c>
      <c r="K9" s="13">
        <f>IFERROR(__xludf.DUMMYFUNCTION("if(isblank(B9),,split(B9,""-""))"),39.0)</f>
        <v>39</v>
      </c>
      <c r="L9" s="13">
        <f>IFERROR(__xludf.DUMMYFUNCTION("""COMPUTED_VALUE"""),53.0)</f>
        <v>53</v>
      </c>
    </row>
    <row r="10">
      <c r="A10" s="15" t="s">
        <v>53</v>
      </c>
      <c r="B10" s="16" t="s">
        <v>54</v>
      </c>
      <c r="C10" s="9"/>
      <c r="D10" s="10" t="s">
        <v>39</v>
      </c>
      <c r="E10" s="17" t="s">
        <v>20</v>
      </c>
      <c r="F10" s="29" t="s">
        <v>55</v>
      </c>
      <c r="G10" s="12" t="s">
        <v>56</v>
      </c>
      <c r="I10" s="13">
        <f>IFERROR(__xludf.DUMMYFUNCTION("if(isblank(A10),,split(A10,""-""))"),39.0)</f>
        <v>39</v>
      </c>
      <c r="J10" s="13">
        <f>IFERROR(__xludf.DUMMYFUNCTION("""COMPUTED_VALUE"""),39.0)</f>
        <v>39</v>
      </c>
      <c r="K10" s="13">
        <f>IFERROR(__xludf.DUMMYFUNCTION("if(isblank(B10),,split(B10,""-""))"),39.0)</f>
        <v>39</v>
      </c>
      <c r="L10" s="13">
        <f>IFERROR(__xludf.DUMMYFUNCTION("""COMPUTED_VALUE"""),44.0)</f>
        <v>44</v>
      </c>
    </row>
    <row r="11">
      <c r="A11" s="15" t="s">
        <v>53</v>
      </c>
      <c r="B11" s="16" t="s">
        <v>58</v>
      </c>
      <c r="C11" s="9"/>
      <c r="D11" s="10" t="s">
        <v>39</v>
      </c>
      <c r="E11" s="17" t="s">
        <v>20</v>
      </c>
      <c r="F11" s="29" t="s">
        <v>55</v>
      </c>
      <c r="G11" s="12" t="s">
        <v>56</v>
      </c>
      <c r="I11" s="13">
        <f>IFERROR(__xludf.DUMMYFUNCTION("if(isblank(A11),,split(A11,""-""))"),39.0)</f>
        <v>39</v>
      </c>
      <c r="J11" s="13">
        <f>IFERROR(__xludf.DUMMYFUNCTION("""COMPUTED_VALUE"""),39.0)</f>
        <v>39</v>
      </c>
      <c r="K11" s="13">
        <f>IFERROR(__xludf.DUMMYFUNCTION("if(isblank(B11),,split(B11,""-""))"),39.0)</f>
        <v>39</v>
      </c>
      <c r="L11" s="13">
        <f>IFERROR(__xludf.DUMMYFUNCTION("""COMPUTED_VALUE"""),45.0)</f>
        <v>45</v>
      </c>
    </row>
    <row r="12">
      <c r="A12" s="7" t="s">
        <v>60</v>
      </c>
      <c r="B12" s="8" t="s">
        <v>61</v>
      </c>
      <c r="C12" s="9"/>
      <c r="D12" s="10" t="s">
        <v>47</v>
      </c>
      <c r="E12" s="10" t="s">
        <v>20</v>
      </c>
      <c r="F12" s="11" t="s">
        <v>62</v>
      </c>
      <c r="G12" s="12" t="s">
        <v>37</v>
      </c>
      <c r="I12" s="13">
        <f>IFERROR(__xludf.DUMMYFUNCTION("if(isblank(A12),,split(A12,""-""))"),39.0)</f>
        <v>39</v>
      </c>
      <c r="J12" s="13">
        <f>IFERROR(__xludf.DUMMYFUNCTION("""COMPUTED_VALUE"""),41.0)</f>
        <v>41</v>
      </c>
      <c r="K12" s="13">
        <f>IFERROR(__xludf.DUMMYFUNCTION("if(isblank(B12),,split(B12,""-""))"),39.0)</f>
        <v>39</v>
      </c>
      <c r="L12" s="13">
        <f>IFERROR(__xludf.DUMMYFUNCTION("""COMPUTED_VALUE"""),52.0)</f>
        <v>52</v>
      </c>
    </row>
    <row r="13">
      <c r="A13" s="7" t="s">
        <v>64</v>
      </c>
      <c r="B13" s="8" t="s">
        <v>65</v>
      </c>
      <c r="C13" s="9"/>
      <c r="D13" s="10" t="s">
        <v>36</v>
      </c>
      <c r="E13" s="10" t="s">
        <v>66</v>
      </c>
      <c r="F13" s="24"/>
      <c r="G13" s="12" t="s">
        <v>67</v>
      </c>
      <c r="I13" s="13">
        <f>IFERROR(__xludf.DUMMYFUNCTION("if(isblank(A13),,split(A13,""-""))"),44.0)</f>
        <v>44</v>
      </c>
      <c r="J13" s="13">
        <f>IFERROR(__xludf.DUMMYFUNCTION("""COMPUTED_VALUE"""),35.0)</f>
        <v>35</v>
      </c>
      <c r="K13" s="13">
        <f>IFERROR(__xludf.DUMMYFUNCTION("if(isblank(B13),,split(B13,""-""))"),44.0)</f>
        <v>44</v>
      </c>
      <c r="L13" s="13">
        <f>IFERROR(__xludf.DUMMYFUNCTION("""COMPUTED_VALUE"""),36.0)</f>
        <v>36</v>
      </c>
    </row>
    <row r="14">
      <c r="A14" s="7" t="s">
        <v>64</v>
      </c>
      <c r="B14" s="8" t="s">
        <v>70</v>
      </c>
      <c r="C14" s="9"/>
      <c r="D14" s="10" t="s">
        <v>36</v>
      </c>
      <c r="E14" s="10" t="s">
        <v>66</v>
      </c>
      <c r="F14" s="24"/>
      <c r="G14" s="12" t="s">
        <v>67</v>
      </c>
      <c r="I14" s="13">
        <f>IFERROR(__xludf.DUMMYFUNCTION("if(isblank(A14),,split(A14,""-""))"),44.0)</f>
        <v>44</v>
      </c>
      <c r="J14" s="13">
        <f>IFERROR(__xludf.DUMMYFUNCTION("""COMPUTED_VALUE"""),35.0)</f>
        <v>35</v>
      </c>
      <c r="K14" s="13">
        <f>IFERROR(__xludf.DUMMYFUNCTION("if(isblank(B14),,split(B14,""-""))"),44.0)</f>
        <v>44</v>
      </c>
      <c r="L14" s="13">
        <f>IFERROR(__xludf.DUMMYFUNCTION("""COMPUTED_VALUE"""),37.0)</f>
        <v>37</v>
      </c>
    </row>
    <row r="15">
      <c r="A15" s="7" t="s">
        <v>64</v>
      </c>
      <c r="B15" s="8" t="s">
        <v>74</v>
      </c>
      <c r="C15" s="9"/>
      <c r="D15" s="10" t="s">
        <v>36</v>
      </c>
      <c r="E15" s="10" t="s">
        <v>66</v>
      </c>
      <c r="F15" s="24"/>
      <c r="G15" s="12" t="s">
        <v>67</v>
      </c>
      <c r="I15" s="13">
        <f>IFERROR(__xludf.DUMMYFUNCTION("if(isblank(A15),,split(A15,""-""))"),44.0)</f>
        <v>44</v>
      </c>
      <c r="J15" s="13">
        <f>IFERROR(__xludf.DUMMYFUNCTION("""COMPUTED_VALUE"""),35.0)</f>
        <v>35</v>
      </c>
      <c r="K15" s="13">
        <f>IFERROR(__xludf.DUMMYFUNCTION("if(isblank(B15),,split(B15,""-""))"),44.0)</f>
        <v>44</v>
      </c>
      <c r="L15" s="13">
        <f>IFERROR(__xludf.DUMMYFUNCTION("""COMPUTED_VALUE"""),38.0)</f>
        <v>38</v>
      </c>
    </row>
    <row r="16">
      <c r="A16" s="7" t="s">
        <v>64</v>
      </c>
      <c r="B16" s="8" t="s">
        <v>77</v>
      </c>
      <c r="C16" s="9"/>
      <c r="D16" s="10" t="s">
        <v>36</v>
      </c>
      <c r="E16" s="10" t="s">
        <v>66</v>
      </c>
      <c r="F16" s="24"/>
      <c r="G16" s="12" t="s">
        <v>67</v>
      </c>
      <c r="I16" s="13">
        <f>IFERROR(__xludf.DUMMYFUNCTION("if(isblank(A16),,split(A16,""-""))"),44.0)</f>
        <v>44</v>
      </c>
      <c r="J16" s="13">
        <f>IFERROR(__xludf.DUMMYFUNCTION("""COMPUTED_VALUE"""),35.0)</f>
        <v>35</v>
      </c>
      <c r="K16" s="13">
        <f>IFERROR(__xludf.DUMMYFUNCTION("if(isblank(B16),,split(B16,""-""))"),44.0)</f>
        <v>44</v>
      </c>
      <c r="L16" s="13">
        <f>IFERROR(__xludf.DUMMYFUNCTION("""COMPUTED_VALUE"""),39.0)</f>
        <v>39</v>
      </c>
    </row>
    <row r="17">
      <c r="A17" s="7" t="s">
        <v>80</v>
      </c>
      <c r="B17" s="8" t="s">
        <v>81</v>
      </c>
      <c r="C17" s="9"/>
      <c r="D17" s="10" t="s">
        <v>36</v>
      </c>
      <c r="E17" s="10" t="s">
        <v>66</v>
      </c>
      <c r="F17" s="24"/>
      <c r="G17" s="12" t="s">
        <v>67</v>
      </c>
      <c r="I17" s="13">
        <f>IFERROR(__xludf.DUMMYFUNCTION("if(isblank(A17),,split(A17,""-""))"),44.0)</f>
        <v>44</v>
      </c>
      <c r="J17" s="13">
        <f>IFERROR(__xludf.DUMMYFUNCTION("""COMPUTED_VALUE"""),40.0)</f>
        <v>40</v>
      </c>
      <c r="K17" s="13">
        <f>IFERROR(__xludf.DUMMYFUNCTION("if(isblank(B17),,split(B17,""-""))"),44.0)</f>
        <v>44</v>
      </c>
      <c r="L17" s="13">
        <f>IFERROR(__xludf.DUMMYFUNCTION("""COMPUTED_VALUE"""),41.0)</f>
        <v>41</v>
      </c>
    </row>
    <row r="18">
      <c r="A18" s="7" t="s">
        <v>85</v>
      </c>
      <c r="B18" s="8" t="s">
        <v>86</v>
      </c>
      <c r="C18" s="9"/>
      <c r="D18" s="10" t="s">
        <v>36</v>
      </c>
      <c r="E18" s="10" t="s">
        <v>87</v>
      </c>
      <c r="F18" s="24"/>
      <c r="G18" s="12" t="s">
        <v>88</v>
      </c>
      <c r="I18" s="13">
        <f>IFERROR(__xludf.DUMMYFUNCTION("if(isblank(A18),,split(A18,""-""))"),45.0)</f>
        <v>45</v>
      </c>
      <c r="J18" s="13">
        <f>IFERROR(__xludf.DUMMYFUNCTION("""COMPUTED_VALUE"""),12.0)</f>
        <v>12</v>
      </c>
      <c r="K18" s="13">
        <f>IFERROR(__xludf.DUMMYFUNCTION("if(isblank(B18),,split(B18,""-""))"),45.0)</f>
        <v>45</v>
      </c>
      <c r="L18" s="13">
        <f>IFERROR(__xludf.DUMMYFUNCTION("""COMPUTED_VALUE"""),13.0)</f>
        <v>13</v>
      </c>
    </row>
    <row r="19">
      <c r="A19" s="7" t="s">
        <v>85</v>
      </c>
      <c r="B19" s="8" t="s">
        <v>91</v>
      </c>
      <c r="C19" s="9"/>
      <c r="D19" s="10" t="s">
        <v>36</v>
      </c>
      <c r="E19" s="10" t="s">
        <v>87</v>
      </c>
      <c r="F19" s="24"/>
      <c r="G19" s="12" t="s">
        <v>88</v>
      </c>
      <c r="I19" s="13">
        <f>IFERROR(__xludf.DUMMYFUNCTION("if(isblank(A19),,split(A19,""-""))"),45.0)</f>
        <v>45</v>
      </c>
      <c r="J19" s="13">
        <f>IFERROR(__xludf.DUMMYFUNCTION("""COMPUTED_VALUE"""),12.0)</f>
        <v>12</v>
      </c>
      <c r="K19" s="13">
        <f>IFERROR(__xludf.DUMMYFUNCTION("if(isblank(B19),,split(B19,""-""))"),45.0)</f>
        <v>45</v>
      </c>
      <c r="L19" s="13">
        <f>IFERROR(__xludf.DUMMYFUNCTION("""COMPUTED_VALUE"""),14.0)</f>
        <v>14</v>
      </c>
    </row>
    <row r="20">
      <c r="A20" s="7" t="s">
        <v>85</v>
      </c>
      <c r="B20" s="8" t="s">
        <v>94</v>
      </c>
      <c r="C20" s="9"/>
      <c r="D20" s="10" t="s">
        <v>36</v>
      </c>
      <c r="E20" s="10" t="s">
        <v>87</v>
      </c>
      <c r="F20" s="24"/>
      <c r="G20" s="12" t="s">
        <v>88</v>
      </c>
      <c r="I20" s="13">
        <f>IFERROR(__xludf.DUMMYFUNCTION("if(isblank(A20),,split(A20,""-""))"),45.0)</f>
        <v>45</v>
      </c>
      <c r="J20" s="13">
        <f>IFERROR(__xludf.DUMMYFUNCTION("""COMPUTED_VALUE"""),12.0)</f>
        <v>12</v>
      </c>
      <c r="K20" s="13">
        <f>IFERROR(__xludf.DUMMYFUNCTION("if(isblank(B20),,split(B20,""-""))"),45.0)</f>
        <v>45</v>
      </c>
      <c r="L20" s="13">
        <f>IFERROR(__xludf.DUMMYFUNCTION("""COMPUTED_VALUE"""),15.0)</f>
        <v>15</v>
      </c>
    </row>
    <row r="21">
      <c r="A21" s="7" t="s">
        <v>85</v>
      </c>
      <c r="B21" s="8" t="s">
        <v>96</v>
      </c>
      <c r="C21" s="9"/>
      <c r="D21" s="10" t="s">
        <v>36</v>
      </c>
      <c r="E21" s="10" t="s">
        <v>87</v>
      </c>
      <c r="F21" s="24"/>
      <c r="G21" s="12" t="s">
        <v>88</v>
      </c>
      <c r="I21" s="13">
        <f>IFERROR(__xludf.DUMMYFUNCTION("if(isblank(A21),,split(A21,""-""))"),45.0)</f>
        <v>45</v>
      </c>
      <c r="J21" s="13">
        <f>IFERROR(__xludf.DUMMYFUNCTION("""COMPUTED_VALUE"""),12.0)</f>
        <v>12</v>
      </c>
      <c r="K21" s="13">
        <f>IFERROR(__xludf.DUMMYFUNCTION("if(isblank(B21),,split(B21,""-""))"),45.0)</f>
        <v>45</v>
      </c>
      <c r="L21" s="13">
        <f>IFERROR(__xludf.DUMMYFUNCTION("""COMPUTED_VALUE"""),16.0)</f>
        <v>16</v>
      </c>
    </row>
    <row r="22">
      <c r="A22" s="7" t="s">
        <v>100</v>
      </c>
      <c r="B22" s="8" t="s">
        <v>101</v>
      </c>
      <c r="C22" s="9"/>
      <c r="D22" s="10" t="s">
        <v>36</v>
      </c>
      <c r="E22" s="10" t="s">
        <v>102</v>
      </c>
      <c r="F22" s="24"/>
      <c r="G22" s="12" t="s">
        <v>103</v>
      </c>
      <c r="I22" s="13">
        <f>IFERROR(__xludf.DUMMYFUNCTION("if(isblank(A22),,split(A22,""-""))"),47.0)</f>
        <v>47</v>
      </c>
      <c r="J22" s="13">
        <f>IFERROR(__xludf.DUMMYFUNCTION("""COMPUTED_VALUE"""),13.0)</f>
        <v>13</v>
      </c>
      <c r="K22" s="13">
        <f>IFERROR(__xludf.DUMMYFUNCTION("if(isblank(B22),,split(B22,""-""))"),47.0)</f>
        <v>47</v>
      </c>
      <c r="L22" s="13">
        <f>IFERROR(__xludf.DUMMYFUNCTION("""COMPUTED_VALUE"""),33.0)</f>
        <v>33</v>
      </c>
    </row>
    <row r="23">
      <c r="A23" s="7" t="s">
        <v>100</v>
      </c>
      <c r="B23" s="8" t="s">
        <v>106</v>
      </c>
      <c r="C23" s="9"/>
      <c r="D23" s="10" t="s">
        <v>36</v>
      </c>
      <c r="E23" s="10" t="s">
        <v>102</v>
      </c>
      <c r="F23" s="24"/>
      <c r="G23" s="12" t="s">
        <v>103</v>
      </c>
      <c r="I23" s="13">
        <f>IFERROR(__xludf.DUMMYFUNCTION("if(isblank(A23),,split(A23,""-""))"),47.0)</f>
        <v>47</v>
      </c>
      <c r="J23" s="13">
        <f>IFERROR(__xludf.DUMMYFUNCTION("""COMPUTED_VALUE"""),13.0)</f>
        <v>13</v>
      </c>
      <c r="K23" s="13">
        <f>IFERROR(__xludf.DUMMYFUNCTION("if(isblank(B23),,split(B23,""-""))"),47.0)</f>
        <v>47</v>
      </c>
      <c r="L23" s="13">
        <f>IFERROR(__xludf.DUMMYFUNCTION("""COMPUTED_VALUE"""),34.0)</f>
        <v>34</v>
      </c>
    </row>
    <row r="24">
      <c r="A24" s="7" t="s">
        <v>109</v>
      </c>
      <c r="B24" s="8" t="s">
        <v>110</v>
      </c>
      <c r="C24" s="9"/>
      <c r="D24" s="10" t="s">
        <v>36</v>
      </c>
      <c r="E24" s="10" t="s">
        <v>102</v>
      </c>
      <c r="F24" s="24"/>
      <c r="G24" s="12" t="s">
        <v>103</v>
      </c>
      <c r="I24" s="13">
        <f>IFERROR(__xludf.DUMMYFUNCTION("if(isblank(A24),,split(A24,""-""))"),47.0)</f>
        <v>47</v>
      </c>
      <c r="J24" s="13">
        <f>IFERROR(__xludf.DUMMYFUNCTION("""COMPUTED_VALUE"""),14.0)</f>
        <v>14</v>
      </c>
      <c r="K24" s="13">
        <f>IFERROR(__xludf.DUMMYFUNCTION("if(isblank(B24),,split(B24,""-""))"),47.0)</f>
        <v>47</v>
      </c>
      <c r="L24" s="13">
        <f>IFERROR(__xludf.DUMMYFUNCTION("""COMPUTED_VALUE"""),29.0)</f>
        <v>29</v>
      </c>
    </row>
    <row r="25">
      <c r="A25" s="33" t="s">
        <v>114</v>
      </c>
      <c r="B25" s="34" t="s">
        <v>115</v>
      </c>
      <c r="C25" s="9">
        <v>43862.0</v>
      </c>
      <c r="D25" s="35" t="s">
        <v>36</v>
      </c>
      <c r="E25" s="10" t="s">
        <v>117</v>
      </c>
      <c r="F25" s="36" t="s">
        <v>118</v>
      </c>
      <c r="G25" s="37" t="s">
        <v>120</v>
      </c>
      <c r="I25" s="38">
        <f>IFERROR(__xludf.DUMMYFUNCTION("if(isblank(A25),,split(A25,""ー""))"),43833.0)</f>
        <v>43833</v>
      </c>
      <c r="K25" s="38">
        <f>IFERROR(__xludf.DUMMYFUNCTION("if(isblank(B25),,split(B25,""ー""))"),43835.0)</f>
        <v>43835</v>
      </c>
    </row>
    <row r="26">
      <c r="A26" s="33" t="s">
        <v>114</v>
      </c>
      <c r="B26" s="34" t="s">
        <v>115</v>
      </c>
      <c r="C26" s="9">
        <v>43863.0</v>
      </c>
      <c r="D26" s="35" t="s">
        <v>36</v>
      </c>
      <c r="E26" s="10" t="s">
        <v>117</v>
      </c>
      <c r="F26" s="36" t="s">
        <v>118</v>
      </c>
      <c r="G26" s="37" t="s">
        <v>120</v>
      </c>
      <c r="I26" s="38">
        <f>IFERROR(__xludf.DUMMYFUNCTION("if(isblank(A26),,split(A26,""ー""))"),43833.0)</f>
        <v>43833</v>
      </c>
      <c r="K26" s="38">
        <f>IFERROR(__xludf.DUMMYFUNCTION("if(isblank(B26),,split(B26,""ー""))"),43835.0)</f>
        <v>43835</v>
      </c>
    </row>
    <row r="27">
      <c r="A27" s="33" t="s">
        <v>114</v>
      </c>
      <c r="B27" s="34" t="s">
        <v>115</v>
      </c>
      <c r="C27" s="9">
        <v>43864.0</v>
      </c>
      <c r="D27" s="35" t="s">
        <v>36</v>
      </c>
      <c r="E27" s="10" t="s">
        <v>117</v>
      </c>
      <c r="F27" s="36" t="s">
        <v>118</v>
      </c>
      <c r="G27" s="37" t="s">
        <v>120</v>
      </c>
      <c r="I27" s="38">
        <f>IFERROR(__xludf.DUMMYFUNCTION("if(isblank(A27),,split(A27,""ー""))"),43833.0)</f>
        <v>43833</v>
      </c>
      <c r="K27" s="38">
        <f>IFERROR(__xludf.DUMMYFUNCTION("if(isblank(B27),,split(B27,""ー""))"),43835.0)</f>
        <v>43835</v>
      </c>
    </row>
    <row r="28">
      <c r="A28" s="33" t="s">
        <v>114</v>
      </c>
      <c r="B28" s="34" t="s">
        <v>115</v>
      </c>
      <c r="C28" s="9">
        <v>43865.0</v>
      </c>
      <c r="D28" s="35" t="s">
        <v>36</v>
      </c>
      <c r="E28" s="10" t="s">
        <v>117</v>
      </c>
      <c r="F28" s="36" t="s">
        <v>118</v>
      </c>
      <c r="G28" s="37" t="s">
        <v>120</v>
      </c>
      <c r="I28" s="38">
        <f>IFERROR(__xludf.DUMMYFUNCTION("if(isblank(A28),,split(A28,""ー""))"),43833.0)</f>
        <v>43833</v>
      </c>
      <c r="K28" s="38">
        <f>IFERROR(__xludf.DUMMYFUNCTION("if(isblank(B28),,split(B28,""ー""))"),43835.0)</f>
        <v>43835</v>
      </c>
    </row>
    <row r="29">
      <c r="A29" s="33" t="s">
        <v>114</v>
      </c>
      <c r="B29" s="34" t="s">
        <v>115</v>
      </c>
      <c r="C29" s="9">
        <v>43866.0</v>
      </c>
      <c r="D29" s="35" t="s">
        <v>36</v>
      </c>
      <c r="E29" s="10" t="s">
        <v>117</v>
      </c>
      <c r="F29" s="36" t="s">
        <v>118</v>
      </c>
      <c r="G29" s="37" t="s">
        <v>120</v>
      </c>
      <c r="I29" s="38">
        <f>IFERROR(__xludf.DUMMYFUNCTION("if(isblank(A29),,split(A29,""ー""))"),43833.0)</f>
        <v>43833</v>
      </c>
      <c r="K29" s="38">
        <f>IFERROR(__xludf.DUMMYFUNCTION("if(isblank(B29),,split(B29,""ー""))"),43835.0)</f>
        <v>43835</v>
      </c>
    </row>
    <row r="30">
      <c r="A30" s="33" t="s">
        <v>114</v>
      </c>
      <c r="B30" s="34" t="s">
        <v>115</v>
      </c>
      <c r="C30" s="9">
        <v>43867.0</v>
      </c>
      <c r="D30" s="35" t="s">
        <v>36</v>
      </c>
      <c r="E30" s="10" t="s">
        <v>117</v>
      </c>
      <c r="F30" s="36" t="s">
        <v>118</v>
      </c>
      <c r="G30" s="37" t="s">
        <v>120</v>
      </c>
      <c r="I30" s="38">
        <f>IFERROR(__xludf.DUMMYFUNCTION("if(isblank(A30),,split(A30,""ー""))"),43833.0)</f>
        <v>43833</v>
      </c>
      <c r="K30" s="38">
        <f>IFERROR(__xludf.DUMMYFUNCTION("if(isblank(B30),,split(B30,""ー""))"),43835.0)</f>
        <v>43835</v>
      </c>
    </row>
    <row r="31">
      <c r="A31" s="33" t="s">
        <v>114</v>
      </c>
      <c r="B31" s="34" t="s">
        <v>115</v>
      </c>
      <c r="C31" s="9">
        <v>43868.0</v>
      </c>
      <c r="D31" s="35" t="s">
        <v>36</v>
      </c>
      <c r="E31" s="10" t="s">
        <v>117</v>
      </c>
      <c r="F31" s="36" t="s">
        <v>118</v>
      </c>
      <c r="G31" s="37" t="s">
        <v>120</v>
      </c>
      <c r="I31" s="38">
        <f>IFERROR(__xludf.DUMMYFUNCTION("if(isblank(A31),,split(A31,""ー""))"),43833.0)</f>
        <v>43833</v>
      </c>
      <c r="K31" s="38">
        <f>IFERROR(__xludf.DUMMYFUNCTION("if(isblank(B31),,split(B31,""ー""))"),43835.0)</f>
        <v>43835</v>
      </c>
    </row>
    <row r="32">
      <c r="A32" s="33" t="s">
        <v>114</v>
      </c>
      <c r="B32" s="34" t="s">
        <v>115</v>
      </c>
      <c r="C32" s="9">
        <v>43869.0</v>
      </c>
      <c r="D32" s="35" t="s">
        <v>36</v>
      </c>
      <c r="E32" s="10" t="s">
        <v>117</v>
      </c>
      <c r="F32" s="36" t="s">
        <v>118</v>
      </c>
      <c r="G32" s="37" t="s">
        <v>120</v>
      </c>
      <c r="I32" s="38">
        <f>IFERROR(__xludf.DUMMYFUNCTION("if(isblank(A32),,split(A32,""ー""))"),43833.0)</f>
        <v>43833</v>
      </c>
      <c r="K32" s="38">
        <f>IFERROR(__xludf.DUMMYFUNCTION("if(isblank(B32),,split(B32,""ー""))"),43835.0)</f>
        <v>43835</v>
      </c>
    </row>
    <row r="33">
      <c r="A33" s="33" t="s">
        <v>114</v>
      </c>
      <c r="B33" s="34" t="s">
        <v>115</v>
      </c>
      <c r="C33" s="9">
        <v>43870.0</v>
      </c>
      <c r="D33" s="35" t="s">
        <v>36</v>
      </c>
      <c r="E33" s="10" t="s">
        <v>117</v>
      </c>
      <c r="F33" s="36" t="s">
        <v>118</v>
      </c>
      <c r="G33" s="37" t="s">
        <v>120</v>
      </c>
      <c r="I33" s="38">
        <f>IFERROR(__xludf.DUMMYFUNCTION("if(isblank(A33),,split(A33,""ー""))"),43833.0)</f>
        <v>43833</v>
      </c>
      <c r="K33" s="38">
        <f>IFERROR(__xludf.DUMMYFUNCTION("if(isblank(B33),,split(B33,""ー""))"),43835.0)</f>
        <v>43835</v>
      </c>
    </row>
    <row r="34">
      <c r="A34" s="33" t="s">
        <v>114</v>
      </c>
      <c r="B34" s="34" t="s">
        <v>115</v>
      </c>
      <c r="C34" s="9">
        <v>43871.0</v>
      </c>
      <c r="D34" s="35" t="s">
        <v>36</v>
      </c>
      <c r="E34" s="10" t="s">
        <v>117</v>
      </c>
      <c r="F34" s="36" t="s">
        <v>118</v>
      </c>
      <c r="G34" s="37" t="s">
        <v>120</v>
      </c>
      <c r="I34" s="38">
        <f>IFERROR(__xludf.DUMMYFUNCTION("if(isblank(A34),,split(A34,""ー""))"),43833.0)</f>
        <v>43833</v>
      </c>
      <c r="K34" s="38">
        <f>IFERROR(__xludf.DUMMYFUNCTION("if(isblank(B34),,split(B34,""ー""))"),43835.0)</f>
        <v>43835</v>
      </c>
    </row>
    <row r="35">
      <c r="A35" s="33" t="s">
        <v>114</v>
      </c>
      <c r="B35" s="34" t="s">
        <v>115</v>
      </c>
      <c r="C35" s="9">
        <v>43872.0</v>
      </c>
      <c r="D35" s="35" t="s">
        <v>36</v>
      </c>
      <c r="E35" s="10" t="s">
        <v>117</v>
      </c>
      <c r="F35" s="36" t="s">
        <v>118</v>
      </c>
      <c r="G35" s="37" t="s">
        <v>120</v>
      </c>
      <c r="I35" s="38">
        <f>IFERROR(__xludf.DUMMYFUNCTION("if(isblank(A35),,split(A35,""ー""))"),43833.0)</f>
        <v>43833</v>
      </c>
      <c r="K35" s="38">
        <f>IFERROR(__xludf.DUMMYFUNCTION("if(isblank(B35),,split(B35,""ー""))"),43835.0)</f>
        <v>43835</v>
      </c>
    </row>
    <row r="36">
      <c r="A36" s="33" t="s">
        <v>114</v>
      </c>
      <c r="B36" s="34" t="s">
        <v>115</v>
      </c>
      <c r="C36" s="9">
        <v>43873.0</v>
      </c>
      <c r="D36" s="35" t="s">
        <v>36</v>
      </c>
      <c r="E36" s="10" t="s">
        <v>117</v>
      </c>
      <c r="F36" s="36" t="s">
        <v>118</v>
      </c>
      <c r="G36" s="37" t="s">
        <v>120</v>
      </c>
      <c r="I36" s="38">
        <f>IFERROR(__xludf.DUMMYFUNCTION("if(isblank(A36),,split(A36,""ー""))"),43833.0)</f>
        <v>43833</v>
      </c>
      <c r="K36" s="38">
        <f>IFERROR(__xludf.DUMMYFUNCTION("if(isblank(B36),,split(B36,""ー""))"),43835.0)</f>
        <v>43835</v>
      </c>
    </row>
    <row r="37">
      <c r="A37" s="33" t="s">
        <v>144</v>
      </c>
      <c r="B37" s="34" t="s">
        <v>145</v>
      </c>
      <c r="C37" s="9"/>
      <c r="D37" s="35" t="s">
        <v>36</v>
      </c>
      <c r="E37" s="10" t="s">
        <v>117</v>
      </c>
      <c r="F37" s="35" t="s">
        <v>36</v>
      </c>
      <c r="G37" s="37" t="s">
        <v>147</v>
      </c>
      <c r="I37" s="38">
        <f>IFERROR(__xludf.DUMMYFUNCTION("if(isblank(A37),,split(A37,""ー""))"),43834.0)</f>
        <v>43834</v>
      </c>
      <c r="K37" s="38">
        <f>IFERROR(__xludf.DUMMYFUNCTION("if(isblank(B37),,split(B37,""ー""))"),43842.0)</f>
        <v>43842</v>
      </c>
    </row>
    <row r="38">
      <c r="A38" s="33" t="s">
        <v>150</v>
      </c>
      <c r="B38" s="34" t="s">
        <v>151</v>
      </c>
      <c r="C38" s="9"/>
      <c r="D38" s="35" t="s">
        <v>36</v>
      </c>
      <c r="E38" s="10" t="s">
        <v>117</v>
      </c>
      <c r="F38" s="35" t="s">
        <v>36</v>
      </c>
      <c r="G38" s="37" t="s">
        <v>152</v>
      </c>
      <c r="I38" s="38">
        <f>IFERROR(__xludf.DUMMYFUNCTION("if(isblank(A38),,split(A38,""ー""))"),43836.0)</f>
        <v>43836</v>
      </c>
      <c r="K38" s="38">
        <f>IFERROR(__xludf.DUMMYFUNCTION("if(isblank(B38),,split(B38,""ー""))"),43837.0)</f>
        <v>43837</v>
      </c>
    </row>
    <row r="39">
      <c r="A39" s="33" t="s">
        <v>154</v>
      </c>
      <c r="B39" s="34" t="s">
        <v>155</v>
      </c>
      <c r="C39" s="9"/>
      <c r="D39" s="35" t="s">
        <v>36</v>
      </c>
      <c r="E39" s="10" t="s">
        <v>117</v>
      </c>
      <c r="F39" s="36" t="s">
        <v>36</v>
      </c>
      <c r="G39" s="37" t="s">
        <v>157</v>
      </c>
      <c r="I39" s="38">
        <f>IFERROR(__xludf.DUMMYFUNCTION("if(isblank(A39),,split(A39,""ー""))"),43839.0)</f>
        <v>43839</v>
      </c>
      <c r="K39" s="38">
        <f>IFERROR(__xludf.DUMMYFUNCTION("if(isblank(B39),,split(B39,""ー""))"),43854.0)</f>
        <v>43854</v>
      </c>
    </row>
    <row r="40">
      <c r="A40" s="33" t="s">
        <v>160</v>
      </c>
      <c r="B40" s="34" t="s">
        <v>161</v>
      </c>
      <c r="C40" s="9"/>
      <c r="D40" s="35" t="s">
        <v>36</v>
      </c>
      <c r="E40" s="10" t="s">
        <v>117</v>
      </c>
      <c r="F40" s="36" t="s">
        <v>36</v>
      </c>
      <c r="G40" s="37" t="s">
        <v>162</v>
      </c>
      <c r="I40" s="38">
        <f>IFERROR(__xludf.DUMMYFUNCTION("if(isblank(A40),,split(A40,""ー""))"),43840.0)</f>
        <v>43840</v>
      </c>
      <c r="K40" s="13" t="str">
        <f>IFERROR(__xludf.DUMMYFUNCTION("if(isblank(B40),,split(B40,""ー""))"),"1-54")</f>
        <v>1-54</v>
      </c>
    </row>
    <row r="41">
      <c r="A41" s="33" t="s">
        <v>163</v>
      </c>
      <c r="B41" s="34" t="s">
        <v>164</v>
      </c>
      <c r="C41" s="9"/>
      <c r="D41" s="35" t="s">
        <v>165</v>
      </c>
      <c r="E41" s="10" t="s">
        <v>117</v>
      </c>
      <c r="F41" s="36" t="s">
        <v>36</v>
      </c>
      <c r="G41" s="37" t="s">
        <v>167</v>
      </c>
      <c r="I41" s="38">
        <f>IFERROR(__xludf.DUMMYFUNCTION("if(isblank(A41),,split(A41,""ー""))"),43841.0)</f>
        <v>43841</v>
      </c>
      <c r="K41" s="38">
        <f>IFERROR(__xludf.DUMMYFUNCTION("if(isblank(B41),,split(B41,""ー""))"),43850.0)</f>
        <v>43850</v>
      </c>
    </row>
    <row r="42">
      <c r="A42" s="33" t="s">
        <v>169</v>
      </c>
      <c r="B42" s="34" t="s">
        <v>170</v>
      </c>
      <c r="C42" s="9"/>
      <c r="D42" s="35" t="s">
        <v>36</v>
      </c>
      <c r="E42" s="10" t="s">
        <v>117</v>
      </c>
      <c r="F42" s="36" t="s">
        <v>36</v>
      </c>
      <c r="G42" s="37" t="s">
        <v>157</v>
      </c>
      <c r="I42" s="38">
        <f>IFERROR(__xludf.DUMMYFUNCTION("if(isblank(A42),,split(A42,""ー""))"),43845.0)</f>
        <v>43845</v>
      </c>
      <c r="K42" s="38">
        <f>IFERROR(__xludf.DUMMYFUNCTION("if(isblank(B42),,split(B42,""ー""))"),43855.0)</f>
        <v>43855</v>
      </c>
    </row>
    <row r="43">
      <c r="A43" s="33" t="s">
        <v>173</v>
      </c>
      <c r="B43" s="34" t="s">
        <v>174</v>
      </c>
      <c r="C43" s="9"/>
      <c r="D43" s="35" t="s">
        <v>36</v>
      </c>
      <c r="E43" s="10" t="s">
        <v>117</v>
      </c>
      <c r="F43" s="36" t="s">
        <v>36</v>
      </c>
      <c r="G43" s="37" t="s">
        <v>175</v>
      </c>
      <c r="I43" s="38">
        <f>IFERROR(__xludf.DUMMYFUNCTION("if(isblank(A43),,split(A43,""ー""))"),43847.0)</f>
        <v>43847</v>
      </c>
      <c r="K43" s="38">
        <f>IFERROR(__xludf.DUMMYFUNCTION("if(isblank(B43),,split(B43,""ー""))"),43859.0)</f>
        <v>43859</v>
      </c>
    </row>
    <row r="44">
      <c r="A44" s="33" t="s">
        <v>173</v>
      </c>
      <c r="B44" s="34" t="s">
        <v>177</v>
      </c>
      <c r="C44" s="9"/>
      <c r="D44" s="35" t="s">
        <v>36</v>
      </c>
      <c r="E44" s="10" t="s">
        <v>117</v>
      </c>
      <c r="F44" s="36" t="s">
        <v>179</v>
      </c>
      <c r="G44" s="37" t="s">
        <v>162</v>
      </c>
      <c r="I44" s="38">
        <f>IFERROR(__xludf.DUMMYFUNCTION("if(isblank(A44),,split(A44,""ー""))"),43847.0)</f>
        <v>43847</v>
      </c>
      <c r="K44" s="13" t="str">
        <f>IFERROR(__xludf.DUMMYFUNCTION("if(isblank(B44),,split(B44,""ー""))"),"1-43")</f>
        <v>1-43</v>
      </c>
    </row>
    <row r="45">
      <c r="A45" s="33" t="s">
        <v>181</v>
      </c>
      <c r="B45" s="34" t="s">
        <v>182</v>
      </c>
      <c r="C45" s="9"/>
      <c r="D45" s="35" t="s">
        <v>36</v>
      </c>
      <c r="E45" s="10" t="s">
        <v>117</v>
      </c>
      <c r="F45" s="36" t="s">
        <v>36</v>
      </c>
      <c r="G45" s="37" t="s">
        <v>183</v>
      </c>
      <c r="I45" s="38">
        <f>IFERROR(__xludf.DUMMYFUNCTION("if(isblank(A45),,split(A45,""ー""))"),43848.0)</f>
        <v>43848</v>
      </c>
      <c r="K45" s="38">
        <f>IFERROR(__xludf.DUMMYFUNCTION("if(isblank(B45),,split(B45,""ー""))"),43857.0)</f>
        <v>43857</v>
      </c>
    </row>
    <row r="46">
      <c r="A46" s="33" t="s">
        <v>186</v>
      </c>
      <c r="B46" s="34" t="s">
        <v>187</v>
      </c>
      <c r="C46" s="9"/>
      <c r="D46" s="35" t="s">
        <v>36</v>
      </c>
      <c r="E46" s="10" t="s">
        <v>117</v>
      </c>
      <c r="F46" s="36" t="s">
        <v>36</v>
      </c>
      <c r="G46" s="37" t="s">
        <v>188</v>
      </c>
      <c r="I46" s="38">
        <f>IFERROR(__xludf.DUMMYFUNCTION("if(isblank(A46),,split(A46,""ー""))"),43851.0)</f>
        <v>43851</v>
      </c>
      <c r="K46" s="13" t="str">
        <f>IFERROR(__xludf.DUMMYFUNCTION("if(isblank(B46),,split(B46,""ー""))"),"1-32")</f>
        <v>1-32</v>
      </c>
    </row>
    <row r="47">
      <c r="A47" s="33" t="s">
        <v>182</v>
      </c>
      <c r="B47" s="34" t="s">
        <v>190</v>
      </c>
      <c r="C47" s="9"/>
      <c r="D47" s="35" t="s">
        <v>36</v>
      </c>
      <c r="E47" s="10" t="s">
        <v>117</v>
      </c>
      <c r="F47" s="36" t="s">
        <v>36</v>
      </c>
      <c r="G47" s="37" t="s">
        <v>192</v>
      </c>
      <c r="I47" s="38">
        <f>IFERROR(__xludf.DUMMYFUNCTION("if(isblank(A47),,split(A47,""ー""))"),43857.0)</f>
        <v>43857</v>
      </c>
      <c r="K47" s="38">
        <f>IFERROR(__xludf.DUMMYFUNCTION("if(isblank(B47),,split(B47,""ー""))"),43861.0)</f>
        <v>43861</v>
      </c>
    </row>
    <row r="48">
      <c r="A48" s="33" t="s">
        <v>195</v>
      </c>
      <c r="B48" s="34" t="s">
        <v>196</v>
      </c>
      <c r="C48" s="9"/>
      <c r="D48" s="35" t="s">
        <v>36</v>
      </c>
      <c r="E48" s="10" t="s">
        <v>117</v>
      </c>
      <c r="F48" s="36" t="s">
        <v>36</v>
      </c>
      <c r="G48" s="37" t="s">
        <v>197</v>
      </c>
      <c r="I48" s="38">
        <f>IFERROR(__xludf.DUMMYFUNCTION("if(isblank(A48),,split(A48,""ー""))"),43858.0)</f>
        <v>43858</v>
      </c>
      <c r="K48" s="13" t="str">
        <f>IFERROR(__xludf.DUMMYFUNCTION("if(isblank(B48),,split(B48,""ー""))"),"1-40")</f>
        <v>1-40</v>
      </c>
    </row>
    <row r="49">
      <c r="A49" s="33" t="s">
        <v>195</v>
      </c>
      <c r="B49" s="34" t="s">
        <v>200</v>
      </c>
      <c r="C49" s="9"/>
      <c r="D49" s="35" t="s">
        <v>36</v>
      </c>
      <c r="E49" s="10" t="s">
        <v>117</v>
      </c>
      <c r="F49" s="36" t="s">
        <v>36</v>
      </c>
      <c r="G49" s="37" t="s">
        <v>197</v>
      </c>
      <c r="I49" s="38">
        <f>IFERROR(__xludf.DUMMYFUNCTION("if(isblank(A49),,split(A49,""ー""))"),43858.0)</f>
        <v>43858</v>
      </c>
      <c r="K49" s="13" t="str">
        <f>IFERROR(__xludf.DUMMYFUNCTION("if(isblank(B49),,split(B49,""ー""))"),"1-41")</f>
        <v>1-41</v>
      </c>
    </row>
    <row r="50">
      <c r="A50" s="33" t="s">
        <v>195</v>
      </c>
      <c r="B50" s="34" t="s">
        <v>177</v>
      </c>
      <c r="C50" s="9"/>
      <c r="D50" s="35" t="s">
        <v>36</v>
      </c>
      <c r="E50" s="10" t="s">
        <v>117</v>
      </c>
      <c r="F50" s="36" t="s">
        <v>179</v>
      </c>
      <c r="G50" s="37" t="s">
        <v>162</v>
      </c>
      <c r="I50" s="38">
        <f>IFERROR(__xludf.DUMMYFUNCTION("if(isblank(A50),,split(A50,""ー""))"),43858.0)</f>
        <v>43858</v>
      </c>
      <c r="K50" s="13" t="str">
        <f>IFERROR(__xludf.DUMMYFUNCTION("if(isblank(B50),,split(B50,""ー""))"),"1-43")</f>
        <v>1-43</v>
      </c>
    </row>
    <row r="51">
      <c r="A51" s="33" t="s">
        <v>195</v>
      </c>
      <c r="B51" s="34" t="s">
        <v>203</v>
      </c>
      <c r="C51" s="9"/>
      <c r="D51" s="35" t="s">
        <v>36</v>
      </c>
      <c r="E51" s="10" t="s">
        <v>117</v>
      </c>
      <c r="F51" s="36" t="s">
        <v>36</v>
      </c>
      <c r="G51" s="37" t="s">
        <v>204</v>
      </c>
      <c r="I51" s="38">
        <f>IFERROR(__xludf.DUMMYFUNCTION("if(isblank(A51),,split(A51,""ー""))"),43858.0)</f>
        <v>43858</v>
      </c>
      <c r="K51" s="13" t="str">
        <f>IFERROR(__xludf.DUMMYFUNCTION("if(isblank(B51),,split(B51,""ー""))"),"1-72")</f>
        <v>1-72</v>
      </c>
    </row>
    <row r="52">
      <c r="A52" s="15" t="s">
        <v>206</v>
      </c>
      <c r="B52" s="16" t="s">
        <v>207</v>
      </c>
      <c r="C52" s="9"/>
      <c r="D52" s="10" t="s">
        <v>44</v>
      </c>
      <c r="E52" s="10" t="s">
        <v>208</v>
      </c>
      <c r="F52" s="11" t="s">
        <v>59</v>
      </c>
      <c r="G52" s="12" t="s">
        <v>209</v>
      </c>
      <c r="I52" s="38">
        <f>IFERROR(__xludf.DUMMYFUNCTION("if(isblank(A52),,split(A52,""ー""))"),43862.0)</f>
        <v>43862</v>
      </c>
      <c r="K52" s="38">
        <f>IFERROR(__xludf.DUMMYFUNCTION("if(isblank(B52),,split(B52,""ー""))"),43863.0)</f>
        <v>43863</v>
      </c>
    </row>
    <row r="53">
      <c r="A53" s="15" t="s">
        <v>206</v>
      </c>
      <c r="B53" s="16" t="s">
        <v>211</v>
      </c>
      <c r="C53" s="9"/>
      <c r="D53" s="10" t="s">
        <v>212</v>
      </c>
      <c r="E53" s="10" t="s">
        <v>208</v>
      </c>
      <c r="F53" s="11" t="s">
        <v>214</v>
      </c>
      <c r="G53" s="12" t="s">
        <v>215</v>
      </c>
      <c r="I53" s="38">
        <f>IFERROR(__xludf.DUMMYFUNCTION("if(isblank(A53),,split(A53,""ー""))"),43862.0)</f>
        <v>43862</v>
      </c>
      <c r="K53" s="38">
        <f>IFERROR(__xludf.DUMMYFUNCTION("if(isblank(B53),,split(B53,""ー""))"),43864.0)</f>
        <v>43864</v>
      </c>
    </row>
    <row r="54">
      <c r="A54" s="15" t="s">
        <v>206</v>
      </c>
      <c r="B54" s="16" t="s">
        <v>217</v>
      </c>
      <c r="C54" s="9"/>
      <c r="D54" s="10" t="s">
        <v>212</v>
      </c>
      <c r="E54" s="10" t="s">
        <v>208</v>
      </c>
      <c r="F54" s="11" t="s">
        <v>214</v>
      </c>
      <c r="G54" s="12" t="s">
        <v>215</v>
      </c>
      <c r="I54" s="38">
        <f>IFERROR(__xludf.DUMMYFUNCTION("if(isblank(A54),,split(A54,""ー""))"),43862.0)</f>
        <v>43862</v>
      </c>
      <c r="K54" s="38">
        <f>IFERROR(__xludf.DUMMYFUNCTION("if(isblank(B54),,split(B54,""ー""))"),43865.0)</f>
        <v>43865</v>
      </c>
    </row>
    <row r="55">
      <c r="A55" s="15" t="s">
        <v>206</v>
      </c>
      <c r="B55" s="16" t="s">
        <v>219</v>
      </c>
      <c r="C55" s="9"/>
      <c r="D55" s="10" t="s">
        <v>212</v>
      </c>
      <c r="E55" s="10" t="s">
        <v>208</v>
      </c>
      <c r="F55" s="11" t="s">
        <v>214</v>
      </c>
      <c r="G55" s="12" t="s">
        <v>215</v>
      </c>
      <c r="I55" s="38">
        <f>IFERROR(__xludf.DUMMYFUNCTION("if(isblank(A55),,split(A55,""ー""))"),43862.0)</f>
        <v>43862</v>
      </c>
      <c r="K55" s="38">
        <f>IFERROR(__xludf.DUMMYFUNCTION("if(isblank(B55),,split(B55,""ー""))"),43866.0)</f>
        <v>43866</v>
      </c>
    </row>
    <row r="56">
      <c r="A56" s="15" t="s">
        <v>206</v>
      </c>
      <c r="B56" s="16" t="s">
        <v>221</v>
      </c>
      <c r="C56" s="13"/>
      <c r="D56" s="10" t="s">
        <v>212</v>
      </c>
      <c r="E56" s="10" t="s">
        <v>208</v>
      </c>
      <c r="F56" s="11" t="s">
        <v>214</v>
      </c>
      <c r="G56" s="12" t="s">
        <v>215</v>
      </c>
      <c r="I56" s="38">
        <f>IFERROR(__xludf.DUMMYFUNCTION("if(isblank(A56),,split(A56,""ー""))"),43862.0)</f>
        <v>43862</v>
      </c>
      <c r="K56" s="38">
        <f>IFERROR(__xludf.DUMMYFUNCTION("if(isblank(B56),,split(B56,""ー""))"),43867.0)</f>
        <v>43867</v>
      </c>
    </row>
    <row r="57">
      <c r="A57" s="15" t="s">
        <v>223</v>
      </c>
      <c r="B57" s="41" t="s">
        <v>224</v>
      </c>
      <c r="C57" s="9">
        <v>43913.0</v>
      </c>
      <c r="D57" s="10" t="s">
        <v>36</v>
      </c>
      <c r="E57" s="10" t="s">
        <v>208</v>
      </c>
      <c r="F57" s="11" t="s">
        <v>226</v>
      </c>
      <c r="G57" s="12" t="s">
        <v>227</v>
      </c>
      <c r="I57" s="38">
        <f>IFERROR(__xludf.DUMMYFUNCTION("if(isblank(A57),,split(A57,""ー""))"),43872.0)</f>
        <v>43872</v>
      </c>
      <c r="K57" s="13" t="str">
        <f>IFERROR(__xludf.DUMMYFUNCTION("if(isblank(B57),,split(B57,""ー""))"),"感染者（秋田県大館保健所管内）")</f>
        <v>感染者（秋田県大館保健所管内）</v>
      </c>
    </row>
    <row r="58">
      <c r="A58" s="15" t="s">
        <v>229</v>
      </c>
      <c r="B58" s="16" t="s">
        <v>230</v>
      </c>
      <c r="C58" s="9"/>
      <c r="D58" s="10" t="s">
        <v>36</v>
      </c>
      <c r="E58" s="10" t="s">
        <v>233</v>
      </c>
      <c r="F58" s="11" t="s">
        <v>234</v>
      </c>
      <c r="G58" s="12" t="s">
        <v>235</v>
      </c>
      <c r="I58" s="38">
        <f>IFERROR(__xludf.DUMMYFUNCTION("if(isblank(A58),,split(A58,""ー""))"),43926.0)</f>
        <v>43926</v>
      </c>
      <c r="K58" s="38">
        <f>IFERROR(__xludf.DUMMYFUNCTION("if(isblank(B58),,split(B58,""ー""))"),43929.0)</f>
        <v>43929</v>
      </c>
    </row>
    <row r="59">
      <c r="A59" s="15" t="s">
        <v>229</v>
      </c>
      <c r="B59" s="16" t="s">
        <v>236</v>
      </c>
      <c r="C59" s="9">
        <v>43910.0</v>
      </c>
      <c r="D59" s="10" t="s">
        <v>36</v>
      </c>
      <c r="E59" s="10" t="s">
        <v>233</v>
      </c>
      <c r="F59" s="11" t="s">
        <v>234</v>
      </c>
      <c r="G59" s="12" t="s">
        <v>238</v>
      </c>
      <c r="I59" s="38">
        <f>IFERROR(__xludf.DUMMYFUNCTION("if(isblank(A59),,split(A59,""ー""))"),43926.0)</f>
        <v>43926</v>
      </c>
      <c r="K59" s="38">
        <f>IFERROR(__xludf.DUMMYFUNCTION("if(isblank(B59),,split(B59,""ー""))"),43935.0)</f>
        <v>43935</v>
      </c>
    </row>
    <row r="60">
      <c r="A60" s="15" t="s">
        <v>229</v>
      </c>
      <c r="B60" s="16" t="s">
        <v>240</v>
      </c>
      <c r="C60" s="9">
        <v>43910.0</v>
      </c>
      <c r="D60" s="10" t="s">
        <v>36</v>
      </c>
      <c r="E60" s="10" t="s">
        <v>233</v>
      </c>
      <c r="F60" s="11" t="s">
        <v>234</v>
      </c>
      <c r="G60" s="12" t="s">
        <v>242</v>
      </c>
      <c r="I60" s="38">
        <f>IFERROR(__xludf.DUMMYFUNCTION("if(isblank(A60),,split(A60,""ー""))"),43926.0)</f>
        <v>43926</v>
      </c>
      <c r="K60" s="38">
        <f>IFERROR(__xludf.DUMMYFUNCTION("if(isblank(B60),,split(B60,""ー""))"),43954.0)</f>
        <v>43954</v>
      </c>
    </row>
    <row r="61">
      <c r="A61" s="15" t="s">
        <v>229</v>
      </c>
      <c r="B61" s="16" t="s">
        <v>244</v>
      </c>
      <c r="C61" s="9">
        <v>43910.0</v>
      </c>
      <c r="D61" s="10" t="s">
        <v>36</v>
      </c>
      <c r="E61" s="10" t="s">
        <v>233</v>
      </c>
      <c r="F61" s="11" t="s">
        <v>234</v>
      </c>
      <c r="G61" s="12" t="s">
        <v>246</v>
      </c>
      <c r="I61" s="38">
        <f>IFERROR(__xludf.DUMMYFUNCTION("if(isblank(A61),,split(A61,""ー""))"),43926.0)</f>
        <v>43926</v>
      </c>
      <c r="K61" s="38">
        <f>IFERROR(__xludf.DUMMYFUNCTION("if(isblank(B61),,split(B61,""ー""))"),43995.0)</f>
        <v>43995</v>
      </c>
    </row>
    <row r="62">
      <c r="A62" s="15" t="s">
        <v>230</v>
      </c>
      <c r="B62" s="16" t="s">
        <v>248</v>
      </c>
      <c r="C62" s="9"/>
      <c r="D62" s="10" t="s">
        <v>36</v>
      </c>
      <c r="E62" s="10" t="s">
        <v>233</v>
      </c>
      <c r="F62" s="11" t="s">
        <v>234</v>
      </c>
      <c r="G62" s="12" t="s">
        <v>235</v>
      </c>
      <c r="I62" s="38">
        <f>IFERROR(__xludf.DUMMYFUNCTION("if(isblank(A62),,split(A62,""ー""))"),43929.0)</f>
        <v>43929</v>
      </c>
      <c r="K62" s="38">
        <f>IFERROR(__xludf.DUMMYFUNCTION("if(isblank(B62),,split(B62,""ー""))"),43930.0)</f>
        <v>43930</v>
      </c>
    </row>
    <row r="63">
      <c r="A63" s="15" t="s">
        <v>248</v>
      </c>
      <c r="B63" s="16" t="s">
        <v>250</v>
      </c>
      <c r="C63" s="9"/>
      <c r="D63" s="10" t="s">
        <v>36</v>
      </c>
      <c r="E63" s="10" t="s">
        <v>233</v>
      </c>
      <c r="F63" s="11" t="s">
        <v>234</v>
      </c>
      <c r="G63" s="12" t="s">
        <v>235</v>
      </c>
      <c r="I63" s="38">
        <f>IFERROR(__xludf.DUMMYFUNCTION("if(isblank(A63),,split(A63,""ー""))"),43930.0)</f>
        <v>43930</v>
      </c>
      <c r="K63" s="38">
        <f>IFERROR(__xludf.DUMMYFUNCTION("if(isblank(B63),,split(B63,""ー""))"),43931.0)</f>
        <v>43931</v>
      </c>
    </row>
    <row r="64">
      <c r="A64" s="15" t="s">
        <v>252</v>
      </c>
      <c r="B64" s="16" t="s">
        <v>253</v>
      </c>
      <c r="C64" s="9"/>
      <c r="D64" s="10" t="s">
        <v>255</v>
      </c>
      <c r="E64" s="10" t="s">
        <v>233</v>
      </c>
      <c r="F64" s="11" t="s">
        <v>36</v>
      </c>
      <c r="G64" s="43" t="s">
        <v>256</v>
      </c>
      <c r="I64" s="38">
        <f>IFERROR(__xludf.DUMMYFUNCTION("if(isblank(A64),,split(A64,""ー""))"),43936.0)</f>
        <v>43936</v>
      </c>
      <c r="K64" s="38">
        <f>IFERROR(__xludf.DUMMYFUNCTION("if(isblank(B64),,split(B64,""ー""))"),43937.0)</f>
        <v>43937</v>
      </c>
    </row>
    <row r="65">
      <c r="A65" s="15" t="s">
        <v>252</v>
      </c>
      <c r="B65" s="16" t="s">
        <v>258</v>
      </c>
      <c r="C65" s="9"/>
      <c r="D65" s="10" t="s">
        <v>259</v>
      </c>
      <c r="E65" s="10" t="s">
        <v>233</v>
      </c>
      <c r="F65" s="11" t="s">
        <v>36</v>
      </c>
      <c r="G65" s="43" t="s">
        <v>256</v>
      </c>
      <c r="I65" s="38">
        <f>IFERROR(__xludf.DUMMYFUNCTION("if(isblank(A65),,split(A65,""ー""))"),43936.0)</f>
        <v>43936</v>
      </c>
      <c r="K65" s="38">
        <f>IFERROR(__xludf.DUMMYFUNCTION("if(isblank(B65),,split(B65,""ー""))"),43938.0)</f>
        <v>43938</v>
      </c>
    </row>
    <row r="66">
      <c r="A66" s="15" t="s">
        <v>252</v>
      </c>
      <c r="B66" s="16" t="s">
        <v>261</v>
      </c>
      <c r="C66" s="9"/>
      <c r="D66" s="10" t="s">
        <v>259</v>
      </c>
      <c r="E66" s="10" t="s">
        <v>233</v>
      </c>
      <c r="F66" s="11" t="s">
        <v>36</v>
      </c>
      <c r="G66" s="12" t="s">
        <v>256</v>
      </c>
      <c r="I66" s="38">
        <f>IFERROR(__xludf.DUMMYFUNCTION("if(isblank(A66),,split(A66,""ー""))"),43936.0)</f>
        <v>43936</v>
      </c>
      <c r="K66" s="38">
        <f>IFERROR(__xludf.DUMMYFUNCTION("if(isblank(B66),,split(B66,""ー""))"),43939.0)</f>
        <v>43939</v>
      </c>
    </row>
    <row r="67">
      <c r="A67" s="15" t="s">
        <v>240</v>
      </c>
      <c r="B67" s="16" t="s">
        <v>263</v>
      </c>
      <c r="C67" s="9">
        <v>43910.0</v>
      </c>
      <c r="D67" s="10" t="s">
        <v>30</v>
      </c>
      <c r="E67" s="10" t="s">
        <v>264</v>
      </c>
      <c r="F67" s="11" t="s">
        <v>234</v>
      </c>
      <c r="G67" s="44" t="s">
        <v>266</v>
      </c>
      <c r="I67" s="38">
        <f>IFERROR(__xludf.DUMMYFUNCTION("if(isblank(A67),,split(A67,""ー""))"),43954.0)</f>
        <v>43954</v>
      </c>
      <c r="K67" s="38">
        <f>IFERROR(__xludf.DUMMYFUNCTION("if(isblank(B67),,split(B67,""ー""))"),43955.0)</f>
        <v>43955</v>
      </c>
    </row>
    <row r="68">
      <c r="A68" s="45" t="s">
        <v>244</v>
      </c>
      <c r="B68" s="45" t="s">
        <v>271</v>
      </c>
      <c r="C68" s="46">
        <v>43910.0</v>
      </c>
      <c r="D68" s="47" t="s">
        <v>273</v>
      </c>
      <c r="E68" s="10" t="s">
        <v>274</v>
      </c>
      <c r="F68" s="48" t="s">
        <v>234</v>
      </c>
      <c r="G68" s="49" t="s">
        <v>275</v>
      </c>
      <c r="H68" s="4"/>
      <c r="I68" s="50">
        <f>IFERROR(__xludf.DUMMYFUNCTION("if(isblank(A68),,split(A68,""ー""))"),43995.0)</f>
        <v>43995</v>
      </c>
      <c r="J68" s="51"/>
      <c r="K68" s="50">
        <f>IFERROR(__xludf.DUMMYFUNCTION("if(isblank(B68),,split(B68,""ー""))"),44000.0)</f>
        <v>44000</v>
      </c>
      <c r="L68" s="51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>
      <c r="A69" s="15" t="s">
        <v>278</v>
      </c>
      <c r="B69" s="16" t="s">
        <v>280</v>
      </c>
      <c r="C69" s="9">
        <v>43885.0</v>
      </c>
      <c r="D69" s="10" t="s">
        <v>282</v>
      </c>
      <c r="E69" s="10" t="s">
        <v>36</v>
      </c>
      <c r="F69" s="11" t="s">
        <v>283</v>
      </c>
      <c r="G69" s="12" t="s">
        <v>284</v>
      </c>
      <c r="I69" s="38">
        <f>IFERROR(__xludf.DUMMYFUNCTION("if(isblank(A69),,split(A69,""ー""))"),44014.0)</f>
        <v>44014</v>
      </c>
      <c r="K69" s="38">
        <f>IFERROR(__xludf.DUMMYFUNCTION("if(isblank(B69),,split(B69,""ー""))"),44148.0)</f>
        <v>44148</v>
      </c>
    </row>
    <row r="70">
      <c r="A70" s="15" t="s">
        <v>286</v>
      </c>
      <c r="B70" s="16" t="s">
        <v>287</v>
      </c>
      <c r="C70" s="9"/>
      <c r="D70" s="10" t="s">
        <v>165</v>
      </c>
      <c r="E70" s="10" t="s">
        <v>288</v>
      </c>
      <c r="F70" s="11" t="s">
        <v>289</v>
      </c>
      <c r="G70" s="44" t="s">
        <v>290</v>
      </c>
      <c r="I70" s="38">
        <f>IFERROR(__xludf.DUMMYFUNCTION("if(isblank(A70),,split(A70,""ー""))"),44018.0)</f>
        <v>44018</v>
      </c>
      <c r="K70" s="38">
        <f>IFERROR(__xludf.DUMMYFUNCTION("if(isblank(B70),,split(B70,""ー""))"),44019.0)</f>
        <v>44019</v>
      </c>
    </row>
    <row r="71">
      <c r="A71" s="15" t="s">
        <v>286</v>
      </c>
      <c r="B71" s="16" t="s">
        <v>291</v>
      </c>
      <c r="C71" s="9"/>
      <c r="D71" s="10" t="s">
        <v>36</v>
      </c>
      <c r="E71" s="10" t="s">
        <v>288</v>
      </c>
      <c r="F71" s="11" t="s">
        <v>36</v>
      </c>
      <c r="G71" s="12" t="s">
        <v>293</v>
      </c>
      <c r="I71" s="38">
        <f>IFERROR(__xludf.DUMMYFUNCTION("if(isblank(A71),,split(A71,""ー""))"),44018.0)</f>
        <v>44018</v>
      </c>
      <c r="K71" s="38">
        <f>IFERROR(__xludf.DUMMYFUNCTION("if(isblank(B71),,split(B71,""ー""))"),44021.0)</f>
        <v>44021</v>
      </c>
    </row>
    <row r="72">
      <c r="A72" s="15" t="s">
        <v>294</v>
      </c>
      <c r="B72" s="16" t="s">
        <v>295</v>
      </c>
      <c r="C72" s="9"/>
      <c r="D72" s="10" t="s">
        <v>296</v>
      </c>
      <c r="E72" s="10" t="s">
        <v>298</v>
      </c>
      <c r="F72" s="11" t="s">
        <v>299</v>
      </c>
      <c r="G72" s="12" t="s">
        <v>300</v>
      </c>
      <c r="I72" s="38">
        <f>IFERROR(__xludf.DUMMYFUNCTION("if(isblank(A72),,split(A72,""ー""))"),44052.0)</f>
        <v>44052</v>
      </c>
      <c r="K72" s="38">
        <f>IFERROR(__xludf.DUMMYFUNCTION("if(isblank(B72),,split(B72,""ー""))"),44054.0)</f>
        <v>44054</v>
      </c>
    </row>
    <row r="73">
      <c r="A73" s="15" t="s">
        <v>301</v>
      </c>
      <c r="B73" s="16" t="s">
        <v>302</v>
      </c>
      <c r="C73" s="9"/>
      <c r="D73" s="10" t="s">
        <v>303</v>
      </c>
      <c r="E73" s="10" t="s">
        <v>298</v>
      </c>
      <c r="F73" s="11" t="s">
        <v>304</v>
      </c>
      <c r="G73" s="12" t="s">
        <v>305</v>
      </c>
      <c r="I73" s="38">
        <f>IFERROR(__xludf.DUMMYFUNCTION("if(isblank(A73),,split(A73,""ー""))"),44055.0)</f>
        <v>44055</v>
      </c>
      <c r="K73" s="38">
        <f>IFERROR(__xludf.DUMMYFUNCTION("if(isblank(B73),,split(B73,""ー""))"),44056.0)</f>
        <v>44056</v>
      </c>
    </row>
    <row r="74">
      <c r="A74" s="15" t="s">
        <v>301</v>
      </c>
      <c r="B74" s="16" t="s">
        <v>307</v>
      </c>
      <c r="C74" s="9"/>
      <c r="D74" s="10" t="s">
        <v>308</v>
      </c>
      <c r="E74" s="10" t="s">
        <v>298</v>
      </c>
      <c r="F74" s="11" t="s">
        <v>310</v>
      </c>
      <c r="G74" s="12" t="s">
        <v>311</v>
      </c>
      <c r="I74" s="38">
        <f>IFERROR(__xludf.DUMMYFUNCTION("if(isblank(A74),,split(A74,""ー""))"),44055.0)</f>
        <v>44055</v>
      </c>
      <c r="K74" s="38">
        <f>IFERROR(__xludf.DUMMYFUNCTION("if(isblank(B74),,split(B74,""ー""))"),44057.0)</f>
        <v>44057</v>
      </c>
    </row>
    <row r="75">
      <c r="A75" s="15" t="s">
        <v>301</v>
      </c>
      <c r="B75" s="16" t="s">
        <v>307</v>
      </c>
      <c r="C75" s="9"/>
      <c r="D75" s="10" t="s">
        <v>36</v>
      </c>
      <c r="E75" s="10" t="s">
        <v>298</v>
      </c>
      <c r="F75" s="11" t="s">
        <v>304</v>
      </c>
      <c r="G75" s="12" t="s">
        <v>311</v>
      </c>
      <c r="I75" s="38">
        <f>IFERROR(__xludf.DUMMYFUNCTION("if(isblank(A75),,split(A75,""ー""))"),44055.0)</f>
        <v>44055</v>
      </c>
      <c r="K75" s="38">
        <f>IFERROR(__xludf.DUMMYFUNCTION("if(isblank(B75),,split(B75,""ー""))"),44057.0)</f>
        <v>44057</v>
      </c>
    </row>
    <row r="76">
      <c r="A76" s="15" t="s">
        <v>301</v>
      </c>
      <c r="B76" s="16" t="s">
        <v>313</v>
      </c>
      <c r="C76" s="9"/>
      <c r="D76" s="10" t="s">
        <v>303</v>
      </c>
      <c r="E76" s="10" t="s">
        <v>298</v>
      </c>
      <c r="F76" s="11" t="s">
        <v>304</v>
      </c>
      <c r="G76" s="12" t="s">
        <v>311</v>
      </c>
      <c r="I76" s="38">
        <f>IFERROR(__xludf.DUMMYFUNCTION("if(isblank(A76),,split(A76,""ー""))"),44055.0)</f>
        <v>44055</v>
      </c>
      <c r="K76" s="38">
        <f>IFERROR(__xludf.DUMMYFUNCTION("if(isblank(B76),,split(B76,""ー""))"),44058.0)</f>
        <v>44058</v>
      </c>
    </row>
    <row r="77">
      <c r="A77" s="15" t="s">
        <v>301</v>
      </c>
      <c r="B77" s="16" t="s">
        <v>313</v>
      </c>
      <c r="C77" s="9"/>
      <c r="D77" s="10" t="s">
        <v>36</v>
      </c>
      <c r="E77" s="10" t="s">
        <v>298</v>
      </c>
      <c r="F77" s="11" t="s">
        <v>304</v>
      </c>
      <c r="G77" s="12" t="s">
        <v>311</v>
      </c>
      <c r="I77" s="38">
        <f>IFERROR(__xludf.DUMMYFUNCTION("if(isblank(A77),,split(A77,""ー""))"),44055.0)</f>
        <v>44055</v>
      </c>
      <c r="K77" s="38">
        <f>IFERROR(__xludf.DUMMYFUNCTION("if(isblank(B77),,split(B77,""ー""))"),44058.0)</f>
        <v>44058</v>
      </c>
    </row>
    <row r="78">
      <c r="A78" s="15" t="s">
        <v>301</v>
      </c>
      <c r="B78" s="16" t="s">
        <v>317</v>
      </c>
      <c r="C78" s="9"/>
      <c r="D78" s="10" t="s">
        <v>318</v>
      </c>
      <c r="E78" s="10" t="s">
        <v>298</v>
      </c>
      <c r="F78" s="11" t="s">
        <v>304</v>
      </c>
      <c r="G78" s="12" t="s">
        <v>319</v>
      </c>
      <c r="I78" s="38">
        <f>IFERROR(__xludf.DUMMYFUNCTION("if(isblank(A78),,split(A78,""ー""))"),44055.0)</f>
        <v>44055</v>
      </c>
      <c r="K78" s="38">
        <f>IFERROR(__xludf.DUMMYFUNCTION("if(isblank(B78),,split(B78,""ー""))"),44061.0)</f>
        <v>44061</v>
      </c>
    </row>
    <row r="79">
      <c r="A79" s="15" t="s">
        <v>301</v>
      </c>
      <c r="B79" s="16" t="s">
        <v>322</v>
      </c>
      <c r="C79" s="9"/>
      <c r="D79" s="10" t="s">
        <v>318</v>
      </c>
      <c r="E79" s="10" t="s">
        <v>298</v>
      </c>
      <c r="F79" s="11" t="s">
        <v>304</v>
      </c>
      <c r="G79" s="12" t="s">
        <v>319</v>
      </c>
      <c r="I79" s="38">
        <f>IFERROR(__xludf.DUMMYFUNCTION("if(isblank(A79),,split(A79,""ー""))"),44055.0)</f>
        <v>44055</v>
      </c>
      <c r="K79" s="38">
        <f>IFERROR(__xludf.DUMMYFUNCTION("if(isblank(B79),,split(B79,""ー""))"),44062.0)</f>
        <v>44062</v>
      </c>
    </row>
    <row r="80">
      <c r="A80" s="15" t="s">
        <v>301</v>
      </c>
      <c r="B80" s="16" t="s">
        <v>323</v>
      </c>
      <c r="C80" s="9"/>
      <c r="D80" s="10" t="s">
        <v>318</v>
      </c>
      <c r="E80" s="10" t="s">
        <v>298</v>
      </c>
      <c r="F80" s="11" t="s">
        <v>304</v>
      </c>
      <c r="G80" s="12" t="s">
        <v>319</v>
      </c>
      <c r="I80" s="38">
        <f>IFERROR(__xludf.DUMMYFUNCTION("if(isblank(A80),,split(A80,""ー""))"),44055.0)</f>
        <v>44055</v>
      </c>
      <c r="K80" s="38">
        <f>IFERROR(__xludf.DUMMYFUNCTION("if(isblank(B80),,split(B80,""ー""))"),44063.0)</f>
        <v>44063</v>
      </c>
    </row>
    <row r="81">
      <c r="A81" s="15" t="s">
        <v>325</v>
      </c>
      <c r="B81" s="16" t="s">
        <v>326</v>
      </c>
      <c r="C81" s="9"/>
      <c r="D81" s="10" t="s">
        <v>327</v>
      </c>
      <c r="E81" s="10" t="s">
        <v>298</v>
      </c>
      <c r="F81" s="11" t="s">
        <v>328</v>
      </c>
      <c r="G81" s="13"/>
      <c r="I81" s="38">
        <f>IFERROR(__xludf.DUMMYFUNCTION("if(isblank(A81),,split(A81,""ー""))"),44059.0)</f>
        <v>44059</v>
      </c>
      <c r="K81" s="38">
        <f>IFERROR(__xludf.DUMMYFUNCTION("if(isblank(B81),,split(B81,""ー""))"),44060.0)</f>
        <v>44060</v>
      </c>
    </row>
    <row r="82">
      <c r="A82" s="52">
        <v>44059.0</v>
      </c>
      <c r="B82" s="53">
        <v>44065.0</v>
      </c>
      <c r="C82" s="54"/>
      <c r="D82" s="55" t="s">
        <v>327</v>
      </c>
      <c r="E82" s="55" t="s">
        <v>298</v>
      </c>
      <c r="F82" s="48" t="s">
        <v>328</v>
      </c>
      <c r="G82" s="56" t="s">
        <v>330</v>
      </c>
      <c r="H82" s="4"/>
      <c r="I82" s="38">
        <f>IFERROR(__xludf.DUMMYFUNCTION("if(isblank(A82),,split(A82,""ー""))"),44059.0)</f>
        <v>44059</v>
      </c>
      <c r="K82" s="38">
        <f>IFERROR(__xludf.DUMMYFUNCTION("if(isblank(B82),,split(B82,""ー""))"),44065.0)</f>
        <v>44065</v>
      </c>
    </row>
    <row r="83">
      <c r="A83" s="57">
        <v>44059.0</v>
      </c>
      <c r="B83" s="58">
        <v>44066.0</v>
      </c>
      <c r="C83" s="54"/>
      <c r="D83" s="17" t="s">
        <v>327</v>
      </c>
      <c r="E83" s="17" t="s">
        <v>298</v>
      </c>
      <c r="F83" s="29" t="s">
        <v>328</v>
      </c>
      <c r="G83" s="59" t="s">
        <v>330</v>
      </c>
      <c r="H83" s="4"/>
      <c r="I83" s="38">
        <f>IFERROR(__xludf.DUMMYFUNCTION("if(isblank(A83),,split(A83,""ー""))"),44059.0)</f>
        <v>44059</v>
      </c>
      <c r="K83" s="38">
        <f>IFERROR(__xludf.DUMMYFUNCTION("if(isblank(B83),,split(B83,""ー""))"),44066.0)</f>
        <v>44066</v>
      </c>
    </row>
    <row r="84">
      <c r="A84" s="52">
        <v>44059.0</v>
      </c>
      <c r="B84" s="53">
        <v>44067.0</v>
      </c>
      <c r="C84" s="54"/>
      <c r="D84" s="55" t="s">
        <v>335</v>
      </c>
      <c r="E84" s="55" t="s">
        <v>298</v>
      </c>
      <c r="F84" s="48" t="s">
        <v>328</v>
      </c>
      <c r="G84" s="56" t="s">
        <v>330</v>
      </c>
      <c r="H84" s="4"/>
      <c r="I84" s="38">
        <f>IFERROR(__xludf.DUMMYFUNCTION("if(isblank(A84),,split(A84,""ー""))"),44059.0)</f>
        <v>44059</v>
      </c>
      <c r="K84" s="38">
        <f>IFERROR(__xludf.DUMMYFUNCTION("if(isblank(B84),,split(B84,""ー""))"),44067.0)</f>
        <v>44067</v>
      </c>
    </row>
    <row r="85">
      <c r="A85" s="15" t="s">
        <v>325</v>
      </c>
      <c r="B85" s="16" t="s">
        <v>339</v>
      </c>
      <c r="C85" s="9"/>
      <c r="D85" s="10" t="s">
        <v>327</v>
      </c>
      <c r="E85" s="10" t="s">
        <v>298</v>
      </c>
      <c r="F85" s="11" t="s">
        <v>328</v>
      </c>
      <c r="G85" s="49" t="s">
        <v>330</v>
      </c>
      <c r="I85" s="38">
        <f>IFERROR(__xludf.DUMMYFUNCTION("if(isblank(A85),,split(A85,""ー""))"),44059.0)</f>
        <v>44059</v>
      </c>
      <c r="K85" s="13" t="str">
        <f>IFERROR(__xludf.DUMMYFUNCTION("if(isblank(B85),,split(B85,""ー""))"),"8-33")</f>
        <v>8-33</v>
      </c>
    </row>
    <row r="86">
      <c r="A86" s="15" t="s">
        <v>325</v>
      </c>
      <c r="B86" s="16" t="s">
        <v>341</v>
      </c>
      <c r="C86" s="9"/>
      <c r="D86" s="10" t="s">
        <v>327</v>
      </c>
      <c r="E86" s="10" t="s">
        <v>298</v>
      </c>
      <c r="F86" s="11" t="s">
        <v>328</v>
      </c>
      <c r="G86" s="49" t="s">
        <v>330</v>
      </c>
      <c r="I86" s="38">
        <f>IFERROR(__xludf.DUMMYFUNCTION("if(isblank(A86),,split(A86,""ー""))"),44059.0)</f>
        <v>44059</v>
      </c>
      <c r="K86" s="13" t="str">
        <f>IFERROR(__xludf.DUMMYFUNCTION("if(isblank(B86),,split(B86,""ー""))"),"8-34")</f>
        <v>8-34</v>
      </c>
    </row>
    <row r="87">
      <c r="A87" s="15" t="s">
        <v>325</v>
      </c>
      <c r="B87" s="16" t="s">
        <v>344</v>
      </c>
      <c r="C87" s="9"/>
      <c r="D87" s="10" t="s">
        <v>327</v>
      </c>
      <c r="E87" s="10" t="s">
        <v>298</v>
      </c>
      <c r="F87" s="11" t="s">
        <v>328</v>
      </c>
      <c r="G87" s="49" t="s">
        <v>330</v>
      </c>
      <c r="I87" s="38">
        <f>IFERROR(__xludf.DUMMYFUNCTION("if(isblank(A87),,split(A87,""ー""))"),44059.0)</f>
        <v>44059</v>
      </c>
      <c r="K87" s="13" t="str">
        <f>IFERROR(__xludf.DUMMYFUNCTION("if(isblank(B87),,split(B87,""ー""))"),"8-35")</f>
        <v>8-35</v>
      </c>
    </row>
    <row r="88">
      <c r="A88" s="15" t="s">
        <v>325</v>
      </c>
      <c r="B88" s="16" t="s">
        <v>347</v>
      </c>
      <c r="C88" s="9"/>
      <c r="D88" s="10" t="s">
        <v>327</v>
      </c>
      <c r="E88" s="10" t="s">
        <v>298</v>
      </c>
      <c r="F88" s="11" t="s">
        <v>328</v>
      </c>
      <c r="G88" s="49" t="s">
        <v>330</v>
      </c>
      <c r="I88" s="38">
        <f>IFERROR(__xludf.DUMMYFUNCTION("if(isblank(A88),,split(A88,""ー""))"),44059.0)</f>
        <v>44059</v>
      </c>
      <c r="K88" s="13" t="str">
        <f>IFERROR(__xludf.DUMMYFUNCTION("if(isblank(B88),,split(B88,""ー""))"),"8-36")</f>
        <v>8-36</v>
      </c>
    </row>
    <row r="89">
      <c r="A89" s="15" t="s">
        <v>325</v>
      </c>
      <c r="B89" s="16" t="s">
        <v>347</v>
      </c>
      <c r="C89" s="9"/>
      <c r="D89" s="10" t="s">
        <v>327</v>
      </c>
      <c r="E89" s="10" t="s">
        <v>298</v>
      </c>
      <c r="F89" s="11" t="s">
        <v>328</v>
      </c>
      <c r="G89" s="49" t="s">
        <v>330</v>
      </c>
      <c r="I89" s="38">
        <f>IFERROR(__xludf.DUMMYFUNCTION("if(isblank(A89),,split(A89,""ー""))"),44059.0)</f>
        <v>44059</v>
      </c>
      <c r="K89" s="13" t="str">
        <f>IFERROR(__xludf.DUMMYFUNCTION("if(isblank(B89),,split(B89,""ー""))"),"8-36")</f>
        <v>8-36</v>
      </c>
    </row>
    <row r="90">
      <c r="A90" s="15" t="s">
        <v>352</v>
      </c>
      <c r="B90" s="16" t="s">
        <v>353</v>
      </c>
      <c r="C90" s="9">
        <v>43884.0</v>
      </c>
      <c r="D90" s="10" t="s">
        <v>36</v>
      </c>
      <c r="E90" s="10" t="s">
        <v>354</v>
      </c>
      <c r="F90" s="11" t="s">
        <v>355</v>
      </c>
      <c r="G90" s="12" t="s">
        <v>356</v>
      </c>
      <c r="I90" s="38">
        <f>IFERROR(__xludf.DUMMYFUNCTION("if(isblank(A90),,split(A90,""ー""))"),44076.0)</f>
        <v>44076</v>
      </c>
      <c r="K90" s="13" t="str">
        <f>IFERROR(__xludf.DUMMYFUNCTION("if(isblank(B90),,split(B90,""ー""))"),"20-2")</f>
        <v>20-2</v>
      </c>
    </row>
    <row r="91">
      <c r="A91" s="15" t="s">
        <v>358</v>
      </c>
      <c r="B91" s="16" t="s">
        <v>359</v>
      </c>
      <c r="C91" s="61"/>
      <c r="D91" s="10" t="s">
        <v>360</v>
      </c>
      <c r="E91" s="10" t="s">
        <v>354</v>
      </c>
      <c r="F91" s="11" t="s">
        <v>361</v>
      </c>
      <c r="G91" s="12" t="s">
        <v>362</v>
      </c>
      <c r="I91" s="38">
        <f>IFERROR(__xludf.DUMMYFUNCTION("if(isblank(A91),,split(A91,""ー""))"),44080.0)</f>
        <v>44080</v>
      </c>
      <c r="K91" s="38">
        <f>IFERROR(__xludf.DUMMYFUNCTION("if(isblank(B91),,split(B91,""ー""))"),44081.0)</f>
        <v>44081</v>
      </c>
    </row>
    <row r="92">
      <c r="A92" s="15" t="s">
        <v>358</v>
      </c>
      <c r="B92" s="16" t="s">
        <v>365</v>
      </c>
      <c r="C92" s="61"/>
      <c r="D92" s="10" t="s">
        <v>30</v>
      </c>
      <c r="E92" s="10" t="s">
        <v>354</v>
      </c>
      <c r="F92" s="11" t="s">
        <v>36</v>
      </c>
      <c r="G92" s="12" t="s">
        <v>362</v>
      </c>
      <c r="I92" s="38">
        <f>IFERROR(__xludf.DUMMYFUNCTION("if(isblank(A92),,split(A92,""ー""))"),44080.0)</f>
        <v>44080</v>
      </c>
      <c r="K92" s="38">
        <f>IFERROR(__xludf.DUMMYFUNCTION("if(isblank(B92),,split(B92,""ー""))"),44082.0)</f>
        <v>44082</v>
      </c>
    </row>
    <row r="93">
      <c r="A93" s="15" t="s">
        <v>365</v>
      </c>
      <c r="B93" s="16" t="s">
        <v>368</v>
      </c>
      <c r="C93" s="61"/>
      <c r="D93" s="10" t="s">
        <v>360</v>
      </c>
      <c r="E93" s="10" t="s">
        <v>354</v>
      </c>
      <c r="F93" s="11" t="s">
        <v>369</v>
      </c>
      <c r="G93" s="12" t="s">
        <v>362</v>
      </c>
      <c r="I93" s="38">
        <f>IFERROR(__xludf.DUMMYFUNCTION("if(isblank(A93),,split(A93,""ー""))"),44082.0)</f>
        <v>44082</v>
      </c>
      <c r="K93" s="38">
        <f>IFERROR(__xludf.DUMMYFUNCTION("if(isblank(B93),,split(B93,""ー""))"),44083.0)</f>
        <v>44083</v>
      </c>
    </row>
    <row r="94">
      <c r="A94" s="15" t="s">
        <v>371</v>
      </c>
      <c r="B94" s="16" t="s">
        <v>372</v>
      </c>
      <c r="C94" s="61"/>
      <c r="D94" s="10" t="s">
        <v>373</v>
      </c>
      <c r="E94" s="10" t="s">
        <v>354</v>
      </c>
      <c r="F94" s="11" t="s">
        <v>374</v>
      </c>
      <c r="G94" s="12" t="s">
        <v>375</v>
      </c>
      <c r="I94" s="38">
        <f>IFERROR(__xludf.DUMMYFUNCTION("if(isblank(A94),,split(A94,""ー""))"),44084.0)</f>
        <v>44084</v>
      </c>
      <c r="K94" s="38">
        <f>IFERROR(__xludf.DUMMYFUNCTION("if(isblank(B94),,split(B94,""ー""))"),44085.0)</f>
        <v>44085</v>
      </c>
    </row>
    <row r="95">
      <c r="A95" s="15" t="s">
        <v>371</v>
      </c>
      <c r="B95" s="63" t="s">
        <v>376</v>
      </c>
      <c r="C95" s="61">
        <v>43903.0</v>
      </c>
      <c r="D95" s="10" t="s">
        <v>273</v>
      </c>
      <c r="E95" s="10" t="s">
        <v>36</v>
      </c>
      <c r="F95" s="11" t="s">
        <v>36</v>
      </c>
      <c r="G95" s="12" t="s">
        <v>378</v>
      </c>
      <c r="I95" s="38">
        <f>IFERROR(__xludf.DUMMYFUNCTION("if(isblank(A95),,split(A95,""ー""))"),44084.0)</f>
        <v>44084</v>
      </c>
      <c r="K95" s="13" t="str">
        <f>IFERROR(__xludf.DUMMYFUNCTION("if(isblank(B95),,split(B95,""ー""))"),"県外の陽性確定者（3/24 判明）")</f>
        <v>県外の陽性確定者（3/24 判明）</v>
      </c>
    </row>
    <row r="96">
      <c r="A96" s="15" t="s">
        <v>380</v>
      </c>
      <c r="B96" s="16" t="s">
        <v>381</v>
      </c>
      <c r="C96" s="61">
        <v>43913.0</v>
      </c>
      <c r="D96" s="10" t="s">
        <v>384</v>
      </c>
      <c r="E96" s="10" t="s">
        <v>385</v>
      </c>
      <c r="F96" s="11" t="s">
        <v>386</v>
      </c>
      <c r="G96" s="12" t="s">
        <v>387</v>
      </c>
      <c r="I96" s="38">
        <f>IFERROR(__xludf.DUMMYFUNCTION("if(isblank(A96),,split(A96,""ー""))"),44086.0)</f>
        <v>44086</v>
      </c>
      <c r="K96" s="13" t="str">
        <f>IFERROR(__xludf.DUMMYFUNCTION("if(isblank(B96),,split(B96,""ー""))"),"38-5")</f>
        <v>38-5</v>
      </c>
    </row>
    <row r="97">
      <c r="A97" s="15" t="s">
        <v>380</v>
      </c>
      <c r="B97" s="16" t="s">
        <v>391</v>
      </c>
      <c r="C97" s="61">
        <v>43913.0</v>
      </c>
      <c r="D97" s="10" t="s">
        <v>384</v>
      </c>
      <c r="E97" s="10" t="s">
        <v>385</v>
      </c>
      <c r="F97" s="11" t="s">
        <v>386</v>
      </c>
      <c r="G97" s="12" t="s">
        <v>387</v>
      </c>
      <c r="I97" s="38">
        <f>IFERROR(__xludf.DUMMYFUNCTION("if(isblank(A97),,split(A97,""ー""))"),44086.0)</f>
        <v>44086</v>
      </c>
      <c r="K97" s="13" t="str">
        <f>IFERROR(__xludf.DUMMYFUNCTION("if(isblank(B97),,split(B97,""ー""))"),"38-6")</f>
        <v>38-6</v>
      </c>
    </row>
    <row r="98">
      <c r="A98" s="15" t="s">
        <v>380</v>
      </c>
      <c r="B98" s="16" t="s">
        <v>397</v>
      </c>
      <c r="C98" s="61">
        <v>43913.0</v>
      </c>
      <c r="D98" s="10" t="s">
        <v>384</v>
      </c>
      <c r="E98" s="10" t="s">
        <v>385</v>
      </c>
      <c r="F98" s="11" t="s">
        <v>386</v>
      </c>
      <c r="G98" s="12" t="s">
        <v>387</v>
      </c>
      <c r="I98" s="38">
        <f>IFERROR(__xludf.DUMMYFUNCTION("if(isblank(A98),,split(A98,""ー""))"),44086.0)</f>
        <v>44086</v>
      </c>
      <c r="K98" s="13" t="str">
        <f>IFERROR(__xludf.DUMMYFUNCTION("if(isblank(B98),,split(B98,""ー""))"),"38-7")</f>
        <v>38-7</v>
      </c>
    </row>
    <row r="99">
      <c r="A99" s="15" t="s">
        <v>380</v>
      </c>
      <c r="B99" s="16" t="s">
        <v>398</v>
      </c>
      <c r="C99" s="61">
        <v>43913.0</v>
      </c>
      <c r="D99" s="10" t="s">
        <v>384</v>
      </c>
      <c r="E99" s="10" t="s">
        <v>385</v>
      </c>
      <c r="F99" s="11" t="s">
        <v>386</v>
      </c>
      <c r="G99" s="12" t="s">
        <v>387</v>
      </c>
      <c r="I99" s="38">
        <f>IFERROR(__xludf.DUMMYFUNCTION("if(isblank(A99),,split(A99,""ー""))"),44086.0)</f>
        <v>44086</v>
      </c>
      <c r="K99" s="13" t="str">
        <f>IFERROR(__xludf.DUMMYFUNCTION("if(isblank(B99),,split(B99,""ー""))"),"38-8")</f>
        <v>38-8</v>
      </c>
    </row>
    <row r="100">
      <c r="A100" s="15" t="s">
        <v>399</v>
      </c>
      <c r="B100" s="16" t="s">
        <v>400</v>
      </c>
      <c r="C100" s="9"/>
      <c r="D100" s="10" t="s">
        <v>401</v>
      </c>
      <c r="E100" s="10" t="s">
        <v>402</v>
      </c>
      <c r="F100" s="11" t="s">
        <v>403</v>
      </c>
      <c r="G100" s="12" t="s">
        <v>404</v>
      </c>
      <c r="I100" s="38">
        <f>IFERROR(__xludf.DUMMYFUNCTION("if(isblank(A100),,split(A100,""ー""))"),44105.0)</f>
        <v>44105</v>
      </c>
      <c r="K100" s="38">
        <f>IFERROR(__xludf.DUMMYFUNCTION("if(isblank(B100),,split(B100,""ー""))"),44106.0)</f>
        <v>44106</v>
      </c>
    </row>
    <row r="101">
      <c r="A101" s="15" t="s">
        <v>399</v>
      </c>
      <c r="B101" s="16" t="s">
        <v>405</v>
      </c>
      <c r="C101" s="9"/>
      <c r="D101" s="10" t="s">
        <v>165</v>
      </c>
      <c r="E101" s="10" t="s">
        <v>402</v>
      </c>
      <c r="F101" s="11" t="s">
        <v>403</v>
      </c>
      <c r="G101" s="12" t="s">
        <v>404</v>
      </c>
      <c r="I101" s="38">
        <f>IFERROR(__xludf.DUMMYFUNCTION("if(isblank(A101),,split(A101,""ー""))"),44105.0)</f>
        <v>44105</v>
      </c>
      <c r="K101" s="38">
        <f>IFERROR(__xludf.DUMMYFUNCTION("if(isblank(B101),,split(B101,""ー""))"),44111.0)</f>
        <v>44111</v>
      </c>
    </row>
    <row r="102">
      <c r="A102" s="15" t="s">
        <v>406</v>
      </c>
      <c r="B102" s="16" t="s">
        <v>407</v>
      </c>
      <c r="C102" s="9"/>
      <c r="D102" s="10" t="s">
        <v>408</v>
      </c>
      <c r="E102" s="10" t="s">
        <v>402</v>
      </c>
      <c r="F102" s="11" t="s">
        <v>409</v>
      </c>
      <c r="G102" s="49" t="s">
        <v>404</v>
      </c>
      <c r="I102" s="38">
        <f>IFERROR(__xludf.DUMMYFUNCTION("if(isblank(A102),,split(A102,""ー""))"),44107.0)</f>
        <v>44107</v>
      </c>
      <c r="K102" s="38">
        <f>IFERROR(__xludf.DUMMYFUNCTION("if(isblank(B102),,split(B102,""ー""))"),44108.0)</f>
        <v>44108</v>
      </c>
    </row>
    <row r="103">
      <c r="A103" s="15" t="s">
        <v>406</v>
      </c>
      <c r="B103" s="16" t="s">
        <v>410</v>
      </c>
      <c r="C103" s="9"/>
      <c r="D103" s="10" t="s">
        <v>36</v>
      </c>
      <c r="E103" s="10" t="s">
        <v>402</v>
      </c>
      <c r="F103" s="11" t="s">
        <v>409</v>
      </c>
      <c r="G103" s="49" t="s">
        <v>404</v>
      </c>
      <c r="I103" s="38">
        <f>IFERROR(__xludf.DUMMYFUNCTION("if(isblank(A103),,split(A103,""ー""))"),44107.0)</f>
        <v>44107</v>
      </c>
      <c r="K103" s="38">
        <f>IFERROR(__xludf.DUMMYFUNCTION("if(isblank(B103),,split(B103,""ー""))"),44109.0)</f>
        <v>44109</v>
      </c>
    </row>
    <row r="104">
      <c r="A104" s="15" t="s">
        <v>406</v>
      </c>
      <c r="B104" s="16" t="s">
        <v>411</v>
      </c>
      <c r="C104" s="9"/>
      <c r="D104" s="10" t="s">
        <v>412</v>
      </c>
      <c r="E104" s="10" t="s">
        <v>402</v>
      </c>
      <c r="F104" s="11" t="s">
        <v>409</v>
      </c>
      <c r="G104" s="49" t="s">
        <v>404</v>
      </c>
      <c r="I104" s="38">
        <f>IFERROR(__xludf.DUMMYFUNCTION("if(isblank(A104),,split(A104,""ー""))"),44107.0)</f>
        <v>44107</v>
      </c>
      <c r="K104" s="38">
        <f>IFERROR(__xludf.DUMMYFUNCTION("if(isblank(B104),,split(B104,""ー""))"),44110.0)</f>
        <v>44110</v>
      </c>
    </row>
    <row r="105">
      <c r="A105" s="15" t="s">
        <v>406</v>
      </c>
      <c r="B105" s="16" t="s">
        <v>413</v>
      </c>
      <c r="C105" s="9"/>
      <c r="D105" s="10" t="s">
        <v>414</v>
      </c>
      <c r="E105" s="10" t="s">
        <v>402</v>
      </c>
      <c r="F105" s="11" t="s">
        <v>409</v>
      </c>
      <c r="G105" s="49" t="s">
        <v>404</v>
      </c>
      <c r="I105" s="38">
        <f>IFERROR(__xludf.DUMMYFUNCTION("if(isblank(A105),,split(A105,""ー""))"),44107.0)</f>
        <v>44107</v>
      </c>
      <c r="K105" s="38">
        <f>IFERROR(__xludf.DUMMYFUNCTION("if(isblank(B105),,split(B105,""ー""))"),44112.0)</f>
        <v>44112</v>
      </c>
    </row>
    <row r="106">
      <c r="A106" s="15" t="s">
        <v>406</v>
      </c>
      <c r="B106" s="16" t="s">
        <v>415</v>
      </c>
      <c r="C106" s="9"/>
      <c r="D106" s="10" t="s">
        <v>412</v>
      </c>
      <c r="E106" s="10" t="s">
        <v>402</v>
      </c>
      <c r="F106" s="11" t="s">
        <v>409</v>
      </c>
      <c r="G106" s="49" t="s">
        <v>404</v>
      </c>
      <c r="I106" s="38">
        <f>IFERROR(__xludf.DUMMYFUNCTION("if(isblank(A106),,split(A106,""ー""))"),44107.0)</f>
        <v>44107</v>
      </c>
      <c r="K106" s="38">
        <f>IFERROR(__xludf.DUMMYFUNCTION("if(isblank(B106),,split(B106,""ー""))"),44113.0)</f>
        <v>44113</v>
      </c>
    </row>
    <row r="107">
      <c r="A107" s="15" t="s">
        <v>406</v>
      </c>
      <c r="B107" s="16" t="s">
        <v>416</v>
      </c>
      <c r="C107" s="9"/>
      <c r="D107" s="10" t="s">
        <v>417</v>
      </c>
      <c r="E107" s="10" t="s">
        <v>402</v>
      </c>
      <c r="F107" s="11" t="s">
        <v>409</v>
      </c>
      <c r="G107" s="49" t="s">
        <v>404</v>
      </c>
      <c r="I107" s="38">
        <f>IFERROR(__xludf.DUMMYFUNCTION("if(isblank(A107),,split(A107,""ー""))"),44107.0)</f>
        <v>44107</v>
      </c>
      <c r="K107" s="38">
        <f>IFERROR(__xludf.DUMMYFUNCTION("if(isblank(B107),,split(B107,""ー""))"),44114.0)</f>
        <v>44114</v>
      </c>
    </row>
    <row r="108">
      <c r="A108" s="15" t="s">
        <v>406</v>
      </c>
      <c r="B108" s="16" t="s">
        <v>418</v>
      </c>
      <c r="C108" s="9"/>
      <c r="D108" s="10" t="s">
        <v>417</v>
      </c>
      <c r="E108" s="10" t="s">
        <v>402</v>
      </c>
      <c r="F108" s="11" t="s">
        <v>409</v>
      </c>
      <c r="G108" s="49" t="s">
        <v>404</v>
      </c>
      <c r="I108" s="38">
        <f>IFERROR(__xludf.DUMMYFUNCTION("if(isblank(A108),,split(A108,""ー""))"),44107.0)</f>
        <v>44107</v>
      </c>
      <c r="K108" s="38">
        <f>IFERROR(__xludf.DUMMYFUNCTION("if(isblank(B108),,split(B108,""ー""))"),44115.0)</f>
        <v>44115</v>
      </c>
    </row>
    <row r="109">
      <c r="A109" s="15" t="s">
        <v>419</v>
      </c>
      <c r="B109" s="16" t="s">
        <v>420</v>
      </c>
      <c r="C109" s="9"/>
      <c r="D109" s="10" t="s">
        <v>421</v>
      </c>
      <c r="E109" s="10" t="s">
        <v>402</v>
      </c>
      <c r="F109" s="11" t="s">
        <v>422</v>
      </c>
      <c r="G109" s="12" t="s">
        <v>423</v>
      </c>
      <c r="I109" s="38">
        <f>IFERROR(__xludf.DUMMYFUNCTION("if(isblank(A109),,split(A109,""ー""))"),44116.0)</f>
        <v>44116</v>
      </c>
      <c r="K109" s="38">
        <f>IFERROR(__xludf.DUMMYFUNCTION("if(isblank(B109),,split(B109,""ー""))"),44118.0)</f>
        <v>44118</v>
      </c>
    </row>
    <row r="110">
      <c r="A110" s="15" t="s">
        <v>419</v>
      </c>
      <c r="B110" s="16" t="s">
        <v>424</v>
      </c>
      <c r="C110" s="9"/>
      <c r="D110" s="10" t="s">
        <v>421</v>
      </c>
      <c r="E110" s="10" t="s">
        <v>402</v>
      </c>
      <c r="F110" s="11" t="s">
        <v>422</v>
      </c>
      <c r="G110" s="64" t="s">
        <v>425</v>
      </c>
      <c r="I110" s="38">
        <f>IFERROR(__xludf.DUMMYFUNCTION("if(isblank(A110),,split(A110,""ー""))"),44116.0)</f>
        <v>44116</v>
      </c>
      <c r="K110" s="38">
        <f>IFERROR(__xludf.DUMMYFUNCTION("if(isblank(B110),,split(B110,""ー""))"),44119.0)</f>
        <v>44119</v>
      </c>
    </row>
    <row r="111">
      <c r="A111" s="15" t="s">
        <v>426</v>
      </c>
      <c r="B111" s="8" t="s">
        <v>36</v>
      </c>
      <c r="C111" s="9"/>
      <c r="D111" s="10" t="s">
        <v>36</v>
      </c>
      <c r="E111" s="10" t="s">
        <v>402</v>
      </c>
      <c r="F111" s="11" t="s">
        <v>427</v>
      </c>
      <c r="G111" s="64" t="s">
        <v>428</v>
      </c>
      <c r="I111" s="38">
        <f>IFERROR(__xludf.DUMMYFUNCTION("if(isblank(A111),,split(A111,""ー""))"),44121.0)</f>
        <v>44121</v>
      </c>
      <c r="K111" s="13" t="str">
        <f>IFERROR(__xludf.DUMMYFUNCTION("if(isblank(B111),,split(B111,""ー""))"),"NA")</f>
        <v>NA</v>
      </c>
    </row>
    <row r="112">
      <c r="A112" s="15" t="s">
        <v>280</v>
      </c>
      <c r="B112" s="16" t="s">
        <v>429</v>
      </c>
      <c r="C112" s="9">
        <v>43885.0</v>
      </c>
      <c r="D112" s="55" t="s">
        <v>282</v>
      </c>
      <c r="E112" s="65" t="s">
        <v>36</v>
      </c>
      <c r="F112" s="48" t="s">
        <v>283</v>
      </c>
      <c r="G112" s="49" t="s">
        <v>430</v>
      </c>
      <c r="I112" s="38">
        <f>IFERROR(__xludf.DUMMYFUNCTION("if(isblank(A112),,split(A112,""ー""))"),44148.0)</f>
        <v>44148</v>
      </c>
      <c r="K112" s="38">
        <f>IFERROR(__xludf.DUMMYFUNCTION("if(isblank(B112),,split(B112,""ー""))"),44149.0)</f>
        <v>44149</v>
      </c>
    </row>
    <row r="113">
      <c r="A113" s="15" t="s">
        <v>431</v>
      </c>
      <c r="B113" s="16" t="s">
        <v>432</v>
      </c>
      <c r="C113" s="9">
        <v>43884.0</v>
      </c>
      <c r="D113" s="10" t="s">
        <v>282</v>
      </c>
      <c r="E113" s="10" t="s">
        <v>36</v>
      </c>
      <c r="F113" s="11" t="s">
        <v>283</v>
      </c>
      <c r="G113" s="12" t="s">
        <v>433</v>
      </c>
      <c r="I113" s="38">
        <f>IFERROR(__xludf.DUMMYFUNCTION("if(isblank(A113),,split(A113,""ー""))"),44151.0)</f>
        <v>44151</v>
      </c>
      <c r="K113" s="38">
        <f>IFERROR(__xludf.DUMMYFUNCTION("if(isblank(B113),,split(B113,""ー""))"),44154.0)</f>
        <v>44154</v>
      </c>
    </row>
    <row r="114">
      <c r="A114" s="15" t="s">
        <v>434</v>
      </c>
      <c r="B114" s="16" t="s">
        <v>435</v>
      </c>
      <c r="C114" s="9"/>
      <c r="D114" s="10" t="s">
        <v>335</v>
      </c>
      <c r="E114" s="10" t="s">
        <v>436</v>
      </c>
      <c r="F114" s="11" t="s">
        <v>36</v>
      </c>
      <c r="G114" s="12" t="s">
        <v>437</v>
      </c>
      <c r="I114" s="38">
        <f>IFERROR(__xludf.DUMMYFUNCTION("if(isblank(A114),,split(A114,""ー""))"),44152.0)</f>
        <v>44152</v>
      </c>
      <c r="K114" s="38">
        <f>IFERROR(__xludf.DUMMYFUNCTION("if(isblank(B114),,split(B114,""ー""))"),44182.0)</f>
        <v>44182</v>
      </c>
    </row>
    <row r="115">
      <c r="A115" s="15" t="s">
        <v>438</v>
      </c>
      <c r="B115" s="16" t="s">
        <v>432</v>
      </c>
      <c r="C115" s="9">
        <v>43884.0</v>
      </c>
      <c r="D115" s="55" t="s">
        <v>282</v>
      </c>
      <c r="E115" s="66" t="s">
        <v>36</v>
      </c>
      <c r="F115" s="48" t="s">
        <v>283</v>
      </c>
      <c r="G115" s="12" t="s">
        <v>433</v>
      </c>
      <c r="I115" s="38">
        <f>IFERROR(__xludf.DUMMYFUNCTION("if(isblank(A115),,split(A115,""ー""))"),44153.0)</f>
        <v>44153</v>
      </c>
      <c r="K115" s="38">
        <f>IFERROR(__xludf.DUMMYFUNCTION("if(isblank(B115),,split(B115,""ー""))"),44154.0)</f>
        <v>44154</v>
      </c>
    </row>
    <row r="116">
      <c r="A116" s="15" t="s">
        <v>438</v>
      </c>
      <c r="B116" s="16" t="s">
        <v>439</v>
      </c>
      <c r="C116" s="9">
        <v>43884.0</v>
      </c>
      <c r="D116" s="55" t="s">
        <v>282</v>
      </c>
      <c r="E116" s="66" t="s">
        <v>36</v>
      </c>
      <c r="F116" s="48" t="s">
        <v>283</v>
      </c>
      <c r="G116" s="12" t="s">
        <v>430</v>
      </c>
      <c r="I116" s="38">
        <f>IFERROR(__xludf.DUMMYFUNCTION("if(isblank(A116),,split(A116,""ー""))"),44153.0)</f>
        <v>44153</v>
      </c>
      <c r="K116" s="38">
        <f>IFERROR(__xludf.DUMMYFUNCTION("if(isblank(B116),,split(B116,""ー""))"),44157.0)</f>
        <v>44157</v>
      </c>
    </row>
    <row r="117">
      <c r="A117" s="15" t="s">
        <v>438</v>
      </c>
      <c r="B117" s="16" t="s">
        <v>440</v>
      </c>
      <c r="C117" s="9">
        <v>43884.0</v>
      </c>
      <c r="D117" s="55" t="s">
        <v>282</v>
      </c>
      <c r="E117" s="66" t="s">
        <v>36</v>
      </c>
      <c r="F117" s="48" t="s">
        <v>283</v>
      </c>
      <c r="G117" s="11"/>
      <c r="I117" s="38">
        <f>IFERROR(__xludf.DUMMYFUNCTION("if(isblank(A117),,split(A117,""ー""))"),44153.0)</f>
        <v>44153</v>
      </c>
      <c r="K117" s="13" t="str">
        <f>IFERROR(__xludf.DUMMYFUNCTION("if(isblank(B117),,split(B117,""ー""))"),"11-35")</f>
        <v>11-35</v>
      </c>
    </row>
    <row r="118">
      <c r="A118" s="15" t="s">
        <v>439</v>
      </c>
      <c r="B118" s="16" t="s">
        <v>441</v>
      </c>
      <c r="C118" s="9"/>
      <c r="D118" s="10" t="s">
        <v>165</v>
      </c>
      <c r="E118" s="10" t="s">
        <v>436</v>
      </c>
      <c r="F118" s="36" t="s">
        <v>442</v>
      </c>
      <c r="G118" s="12" t="s">
        <v>437</v>
      </c>
      <c r="I118" s="38">
        <f>IFERROR(__xludf.DUMMYFUNCTION("if(isblank(A118),,split(A118,""ー""))"),44157.0)</f>
        <v>44157</v>
      </c>
      <c r="K118" s="38">
        <f>IFERROR(__xludf.DUMMYFUNCTION("if(isblank(B118),,split(B118,""ー""))"),44158.0)</f>
        <v>44158</v>
      </c>
    </row>
    <row r="119">
      <c r="A119" s="15" t="s">
        <v>439</v>
      </c>
      <c r="B119" s="16" t="s">
        <v>443</v>
      </c>
      <c r="C119" s="9"/>
      <c r="D119" s="10" t="s">
        <v>165</v>
      </c>
      <c r="E119" s="10" t="s">
        <v>436</v>
      </c>
      <c r="F119" s="36" t="s">
        <v>442</v>
      </c>
      <c r="G119" s="12" t="s">
        <v>437</v>
      </c>
      <c r="I119" s="38">
        <f>IFERROR(__xludf.DUMMYFUNCTION("if(isblank(A119),,split(A119,""ー""))"),44157.0)</f>
        <v>44157</v>
      </c>
      <c r="K119" s="13" t="str">
        <f>IFERROR(__xludf.DUMMYFUNCTION("if(isblank(B119),,split(B119,""ー""))"),"11-34")</f>
        <v>11-34</v>
      </c>
    </row>
    <row r="120">
      <c r="A120" s="15" t="s">
        <v>439</v>
      </c>
      <c r="B120" s="16" t="s">
        <v>443</v>
      </c>
      <c r="C120" s="9">
        <v>43884.0</v>
      </c>
      <c r="D120" s="55" t="s">
        <v>282</v>
      </c>
      <c r="E120" s="66" t="s">
        <v>36</v>
      </c>
      <c r="F120" s="48" t="s">
        <v>283</v>
      </c>
      <c r="G120" s="12" t="s">
        <v>437</v>
      </c>
      <c r="I120" s="38">
        <f>IFERROR(__xludf.DUMMYFUNCTION("if(isblank(A120),,split(A120,""ー""))"),44157.0)</f>
        <v>44157</v>
      </c>
      <c r="K120" s="13" t="str">
        <f>IFERROR(__xludf.DUMMYFUNCTION("if(isblank(B120),,split(B120,""ー""))"),"11-34")</f>
        <v>11-34</v>
      </c>
    </row>
    <row r="121">
      <c r="A121" s="15" t="s">
        <v>441</v>
      </c>
      <c r="B121" s="16" t="s">
        <v>443</v>
      </c>
      <c r="C121" s="9"/>
      <c r="D121" s="10" t="s">
        <v>165</v>
      </c>
      <c r="E121" s="10" t="s">
        <v>436</v>
      </c>
      <c r="F121" s="36" t="s">
        <v>442</v>
      </c>
      <c r="G121" s="12" t="s">
        <v>437</v>
      </c>
      <c r="I121" s="38">
        <f>IFERROR(__xludf.DUMMYFUNCTION("if(isblank(A121),,split(A121,""ー""))"),44158.0)</f>
        <v>44158</v>
      </c>
      <c r="K121" s="13" t="str">
        <f>IFERROR(__xludf.DUMMYFUNCTION("if(isblank(B121),,split(B121,""ー""))"),"11-34")</f>
        <v>11-34</v>
      </c>
    </row>
    <row r="122">
      <c r="A122" s="15" t="s">
        <v>444</v>
      </c>
      <c r="B122" s="16" t="s">
        <v>445</v>
      </c>
      <c r="C122" s="9"/>
      <c r="D122" s="10" t="s">
        <v>446</v>
      </c>
      <c r="E122" s="10" t="s">
        <v>447</v>
      </c>
      <c r="F122" s="11" t="s">
        <v>36</v>
      </c>
      <c r="G122" s="12" t="s">
        <v>448</v>
      </c>
      <c r="I122" s="38">
        <f>IFERROR(__xludf.DUMMYFUNCTION("if(isblank(A122),,split(A122,""ー""))"),44180.0)</f>
        <v>44180</v>
      </c>
      <c r="K122" s="13" t="str">
        <f>IFERROR(__xludf.DUMMYFUNCTION("if(isblank(B122),,split(B122,""ー""))"),"14-23")</f>
        <v>14-23</v>
      </c>
    </row>
    <row r="123">
      <c r="A123" s="15" t="s">
        <v>449</v>
      </c>
      <c r="B123" s="16" t="s">
        <v>450</v>
      </c>
      <c r="C123" s="9"/>
      <c r="D123" s="10" t="s">
        <v>451</v>
      </c>
      <c r="E123" s="10" t="s">
        <v>447</v>
      </c>
      <c r="F123" s="11" t="s">
        <v>452</v>
      </c>
      <c r="G123" s="12" t="s">
        <v>453</v>
      </c>
      <c r="I123" s="38">
        <f>IFERROR(__xludf.DUMMYFUNCTION("if(isblank(A123),,split(A123,""ー""))"),44181.0)</f>
        <v>44181</v>
      </c>
      <c r="K123" s="13" t="str">
        <f>IFERROR(__xludf.DUMMYFUNCTION("if(isblank(B123),,split(B123,""ー""))"),"13-38")</f>
        <v>13-38</v>
      </c>
    </row>
    <row r="124">
      <c r="A124" s="15" t="s">
        <v>454</v>
      </c>
      <c r="B124" s="16" t="s">
        <v>455</v>
      </c>
      <c r="C124" s="9"/>
      <c r="D124" s="10" t="s">
        <v>456</v>
      </c>
      <c r="E124" s="10" t="s">
        <v>447</v>
      </c>
      <c r="F124" s="11" t="s">
        <v>457</v>
      </c>
      <c r="G124" s="12" t="s">
        <v>458</v>
      </c>
      <c r="I124" s="38">
        <f>IFERROR(__xludf.DUMMYFUNCTION("if(isblank(A124),,split(A124,""ー""))"),44183.0)</f>
        <v>44183</v>
      </c>
      <c r="K124" s="38">
        <f>IFERROR(__xludf.DUMMYFUNCTION("if(isblank(B124),,split(B124,""ー""))"),44189.0)</f>
        <v>44189</v>
      </c>
    </row>
    <row r="125">
      <c r="A125" s="15" t="s">
        <v>459</v>
      </c>
      <c r="B125" s="16" t="s">
        <v>460</v>
      </c>
      <c r="C125" s="9"/>
      <c r="D125" s="10" t="s">
        <v>165</v>
      </c>
      <c r="E125" s="10" t="s">
        <v>447</v>
      </c>
      <c r="F125" s="11" t="s">
        <v>461</v>
      </c>
      <c r="G125" s="12" t="s">
        <v>462</v>
      </c>
      <c r="I125" s="38">
        <f>IFERROR(__xludf.DUMMYFUNCTION("if(isblank(A125),,split(A125,""ー""))"),44184.0)</f>
        <v>44184</v>
      </c>
      <c r="K125" s="38">
        <f>IFERROR(__xludf.DUMMYFUNCTION("if(isblank(B125),,split(B125,""ー""))"),44185.0)</f>
        <v>44185</v>
      </c>
    </row>
    <row r="126">
      <c r="A126" s="15" t="s">
        <v>459</v>
      </c>
      <c r="B126" s="16" t="s">
        <v>463</v>
      </c>
      <c r="C126" s="9"/>
      <c r="D126" s="10" t="s">
        <v>165</v>
      </c>
      <c r="E126" s="10" t="s">
        <v>447</v>
      </c>
      <c r="F126" s="11" t="s">
        <v>461</v>
      </c>
      <c r="G126" s="12" t="s">
        <v>462</v>
      </c>
      <c r="I126" s="38">
        <f>IFERROR(__xludf.DUMMYFUNCTION("if(isblank(A126),,split(A126,""ー""))"),44184.0)</f>
        <v>44184</v>
      </c>
      <c r="K126" s="38">
        <f>IFERROR(__xludf.DUMMYFUNCTION("if(isblank(B126),,split(B126,""ー""))"),44186.0)</f>
        <v>44186</v>
      </c>
    </row>
    <row r="127">
      <c r="A127" s="15" t="s">
        <v>460</v>
      </c>
      <c r="B127" s="16" t="s">
        <v>463</v>
      </c>
      <c r="C127" s="9"/>
      <c r="D127" s="10" t="s">
        <v>165</v>
      </c>
      <c r="E127" s="10" t="s">
        <v>447</v>
      </c>
      <c r="F127" s="11" t="s">
        <v>461</v>
      </c>
      <c r="G127" s="12" t="s">
        <v>462</v>
      </c>
      <c r="I127" s="38">
        <f>IFERROR(__xludf.DUMMYFUNCTION("if(isblank(A127),,split(A127,""ー""))"),44185.0)</f>
        <v>44185</v>
      </c>
      <c r="K127" s="38">
        <f>IFERROR(__xludf.DUMMYFUNCTION("if(isblank(B127),,split(B127,""ー""))"),44186.0)</f>
        <v>44186</v>
      </c>
    </row>
    <row r="128">
      <c r="A128" s="15" t="s">
        <v>464</v>
      </c>
      <c r="B128" s="16" t="s">
        <v>465</v>
      </c>
      <c r="C128" s="9">
        <v>43883.0</v>
      </c>
      <c r="D128" s="10" t="s">
        <v>282</v>
      </c>
      <c r="E128" s="10" t="s">
        <v>36</v>
      </c>
      <c r="F128" s="11" t="s">
        <v>283</v>
      </c>
      <c r="G128" s="44" t="s">
        <v>466</v>
      </c>
      <c r="I128" s="38">
        <f>IFERROR(__xludf.DUMMYFUNCTION("if(isblank(A128),,split(A128,""ー""))"),44190.0)</f>
        <v>44190</v>
      </c>
      <c r="K128" s="38">
        <f>IFERROR(__xludf.DUMMYFUNCTION("if(isblank(B128),,split(B128,""ー""))"),44191.0)</f>
        <v>44191</v>
      </c>
    </row>
    <row r="129">
      <c r="A129" s="15" t="s">
        <v>467</v>
      </c>
      <c r="B129" s="16" t="s">
        <v>468</v>
      </c>
      <c r="C129" s="9"/>
      <c r="D129" s="10" t="s">
        <v>165</v>
      </c>
      <c r="E129" s="10" t="s">
        <v>447</v>
      </c>
      <c r="F129" s="11" t="s">
        <v>469</v>
      </c>
      <c r="G129" s="12" t="s">
        <v>470</v>
      </c>
      <c r="I129" s="38">
        <f>IFERROR(__xludf.DUMMYFUNCTION("if(isblank(A129),,split(A129,""ー""))"),44192.0)</f>
        <v>44192</v>
      </c>
      <c r="K129" s="38">
        <f>IFERROR(__xludf.DUMMYFUNCTION("if(isblank(B129),,split(B129,""ー""))"),44194.0)</f>
        <v>44194</v>
      </c>
    </row>
    <row r="130">
      <c r="A130" s="15" t="s">
        <v>471</v>
      </c>
      <c r="B130" s="16" t="s">
        <v>472</v>
      </c>
      <c r="C130" s="9"/>
      <c r="D130" s="10" t="s">
        <v>165</v>
      </c>
      <c r="E130" s="10" t="s">
        <v>447</v>
      </c>
      <c r="F130" s="11" t="s">
        <v>473</v>
      </c>
      <c r="G130" s="12" t="s">
        <v>474</v>
      </c>
      <c r="I130" s="38">
        <f>IFERROR(__xludf.DUMMYFUNCTION("if(isblank(A130),,split(A130,""ー""))"),44195.0)</f>
        <v>44195</v>
      </c>
      <c r="K130" s="38">
        <f>IFERROR(__xludf.DUMMYFUNCTION("if(isblank(B130),,split(B130,""ー""))"),44196.0)</f>
        <v>44196</v>
      </c>
    </row>
    <row r="131">
      <c r="A131" s="15" t="s">
        <v>471</v>
      </c>
      <c r="B131" s="16" t="s">
        <v>475</v>
      </c>
      <c r="C131" s="9"/>
      <c r="D131" s="10" t="s">
        <v>165</v>
      </c>
      <c r="E131" s="10" t="s">
        <v>447</v>
      </c>
      <c r="F131" s="11" t="s">
        <v>473</v>
      </c>
      <c r="G131" s="12" t="s">
        <v>474</v>
      </c>
      <c r="I131" s="38">
        <f>IFERROR(__xludf.DUMMYFUNCTION("if(isblank(A131),,split(A131,""ー""))"),44195.0)</f>
        <v>44195</v>
      </c>
      <c r="K131" s="13" t="str">
        <f>IFERROR(__xludf.DUMMYFUNCTION("if(isblank(B131),,split(B131,""ー""))"),"12-32")</f>
        <v>12-32</v>
      </c>
    </row>
    <row r="132">
      <c r="A132" s="15" t="s">
        <v>471</v>
      </c>
      <c r="B132" s="16" t="s">
        <v>476</v>
      </c>
      <c r="C132" s="9">
        <v>43887.0</v>
      </c>
      <c r="D132" s="55" t="s">
        <v>282</v>
      </c>
      <c r="E132" s="66" t="s">
        <v>36</v>
      </c>
      <c r="F132" s="48" t="s">
        <v>283</v>
      </c>
      <c r="G132" s="12" t="s">
        <v>474</v>
      </c>
      <c r="I132" s="38">
        <f>IFERROR(__xludf.DUMMYFUNCTION("if(isblank(A132),,split(A132,""ー""))"),44195.0)</f>
        <v>44195</v>
      </c>
      <c r="K132" s="13" t="str">
        <f>IFERROR(__xludf.DUMMYFUNCTION("if(isblank(B132),,split(B132,""ー""))"),"14-98")</f>
        <v>14-98</v>
      </c>
    </row>
    <row r="133">
      <c r="A133" s="15" t="s">
        <v>472</v>
      </c>
      <c r="B133" s="16" t="s">
        <v>475</v>
      </c>
      <c r="C133" s="9"/>
      <c r="D133" s="10" t="s">
        <v>165</v>
      </c>
      <c r="E133" s="10" t="s">
        <v>447</v>
      </c>
      <c r="F133" s="11" t="s">
        <v>473</v>
      </c>
      <c r="G133" s="12" t="s">
        <v>474</v>
      </c>
      <c r="I133" s="38">
        <f>IFERROR(__xludf.DUMMYFUNCTION("if(isblank(A133),,split(A133,""ー""))"),44196.0)</f>
        <v>44196</v>
      </c>
      <c r="K133" s="13" t="str">
        <f>IFERROR(__xludf.DUMMYFUNCTION("if(isblank(B133),,split(B133,""ー""))"),"12-32")</f>
        <v>12-32</v>
      </c>
    </row>
    <row r="134">
      <c r="A134" s="33" t="s">
        <v>477</v>
      </c>
      <c r="B134" s="34" t="s">
        <v>478</v>
      </c>
      <c r="C134" s="9"/>
      <c r="D134" s="35" t="s">
        <v>36</v>
      </c>
      <c r="E134" s="10" t="s">
        <v>117</v>
      </c>
      <c r="F134" s="36" t="s">
        <v>36</v>
      </c>
      <c r="G134" s="67" t="s">
        <v>479</v>
      </c>
      <c r="I134" s="13" t="str">
        <f>IFERROR(__xludf.DUMMYFUNCTION("if(isblank(A134),,split(A134,""ー""))"),"1-107")</f>
        <v>1-107</v>
      </c>
      <c r="K134" s="13" t="str">
        <f>IFERROR(__xludf.DUMMYFUNCTION("if(isblank(B134),,split(B134,""ー""))"),"1-108")</f>
        <v>1-108</v>
      </c>
    </row>
    <row r="135">
      <c r="A135" s="33" t="s">
        <v>480</v>
      </c>
      <c r="B135" s="34" t="s">
        <v>481</v>
      </c>
      <c r="C135" s="9"/>
      <c r="D135" s="35" t="s">
        <v>36</v>
      </c>
      <c r="E135" s="10" t="s">
        <v>117</v>
      </c>
      <c r="F135" s="36" t="s">
        <v>36</v>
      </c>
      <c r="G135" s="67" t="s">
        <v>482</v>
      </c>
      <c r="I135" s="13" t="str">
        <f>IFERROR(__xludf.DUMMYFUNCTION("if(isblank(A135),,split(A135,""ー""))"),"1-109")</f>
        <v>1-109</v>
      </c>
      <c r="K135" s="13" t="str">
        <f>IFERROR(__xludf.DUMMYFUNCTION("if(isblank(B135),,split(B135,""ー""))"),"1-125")</f>
        <v>1-125</v>
      </c>
    </row>
    <row r="136">
      <c r="A136" s="33" t="s">
        <v>480</v>
      </c>
      <c r="B136" s="34" t="s">
        <v>483</v>
      </c>
      <c r="C136" s="9"/>
      <c r="D136" s="35" t="s">
        <v>36</v>
      </c>
      <c r="E136" s="10" t="s">
        <v>117</v>
      </c>
      <c r="F136" s="36" t="s">
        <v>36</v>
      </c>
      <c r="G136" s="67" t="s">
        <v>484</v>
      </c>
      <c r="I136" s="13" t="str">
        <f>IFERROR(__xludf.DUMMYFUNCTION("if(isblank(A136),,split(A136,""ー""))"),"1-109")</f>
        <v>1-109</v>
      </c>
      <c r="K136" s="13" t="str">
        <f>IFERROR(__xludf.DUMMYFUNCTION("if(isblank(B136),,split(B136,""ー""))"),"1-130")</f>
        <v>1-130</v>
      </c>
    </row>
    <row r="137">
      <c r="A137" s="33" t="s">
        <v>485</v>
      </c>
      <c r="B137" s="34" t="s">
        <v>486</v>
      </c>
      <c r="C137" s="9"/>
      <c r="D137" s="35" t="s">
        <v>36</v>
      </c>
      <c r="E137" s="10" t="s">
        <v>117</v>
      </c>
      <c r="F137" s="36" t="s">
        <v>36</v>
      </c>
      <c r="G137" s="67" t="s">
        <v>487</v>
      </c>
      <c r="I137" s="13" t="str">
        <f>IFERROR(__xludf.DUMMYFUNCTION("if(isblank(A137),,split(A137,""ー""))"),"1-110")</f>
        <v>1-110</v>
      </c>
      <c r="K137" s="13" t="str">
        <f>IFERROR(__xludf.DUMMYFUNCTION("if(isblank(B137),,split(B137,""ー""))"),"1-112")</f>
        <v>1-112</v>
      </c>
    </row>
    <row r="138">
      <c r="A138" s="33" t="s">
        <v>485</v>
      </c>
      <c r="B138" s="34" t="s">
        <v>488</v>
      </c>
      <c r="C138" s="9"/>
      <c r="D138" s="35" t="s">
        <v>36</v>
      </c>
      <c r="E138" s="10" t="s">
        <v>117</v>
      </c>
      <c r="F138" s="36" t="s">
        <v>36</v>
      </c>
      <c r="G138" s="67" t="s">
        <v>482</v>
      </c>
      <c r="I138" s="13" t="str">
        <f>IFERROR(__xludf.DUMMYFUNCTION("if(isblank(A138),,split(A138,""ー""))"),"1-110")</f>
        <v>1-110</v>
      </c>
      <c r="K138" s="13" t="str">
        <f>IFERROR(__xludf.DUMMYFUNCTION("if(isblank(B138),,split(B138,""ー""))"),"1-122")</f>
        <v>1-122</v>
      </c>
    </row>
    <row r="139">
      <c r="A139" s="33" t="s">
        <v>489</v>
      </c>
      <c r="B139" s="34" t="s">
        <v>490</v>
      </c>
      <c r="C139" s="9"/>
      <c r="D139" s="35" t="s">
        <v>36</v>
      </c>
      <c r="E139" s="10" t="s">
        <v>117</v>
      </c>
      <c r="F139" s="36" t="s">
        <v>36</v>
      </c>
      <c r="G139" s="67" t="s">
        <v>484</v>
      </c>
      <c r="I139" s="13" t="str">
        <f>IFERROR(__xludf.DUMMYFUNCTION("if(isblank(A139),,split(A139,""ー""))"),"1-111")</f>
        <v>1-111</v>
      </c>
      <c r="K139" s="13" t="str">
        <f>IFERROR(__xludf.DUMMYFUNCTION("if(isblank(B139),,split(B139,""ー""))"),"1-132")</f>
        <v>1-132</v>
      </c>
    </row>
    <row r="140">
      <c r="A140" s="33" t="s">
        <v>491</v>
      </c>
      <c r="B140" s="34" t="s">
        <v>492</v>
      </c>
      <c r="C140" s="9">
        <v>43886.0</v>
      </c>
      <c r="D140" s="35" t="s">
        <v>36</v>
      </c>
      <c r="E140" s="10" t="s">
        <v>117</v>
      </c>
      <c r="F140" s="36" t="s">
        <v>493</v>
      </c>
      <c r="G140" s="67" t="s">
        <v>494</v>
      </c>
      <c r="I140" s="13" t="str">
        <f>IFERROR(__xludf.DUMMYFUNCTION("if(isblank(A140),,split(A140,""ー""))"),"1-119")</f>
        <v>1-119</v>
      </c>
      <c r="K140" s="13" t="str">
        <f>IFERROR(__xludf.DUMMYFUNCTION("if(isblank(B140),,split(B140,""ー""))"),"1-136")</f>
        <v>1-136</v>
      </c>
    </row>
    <row r="141">
      <c r="A141" s="33" t="s">
        <v>495</v>
      </c>
      <c r="B141" s="34" t="s">
        <v>496</v>
      </c>
      <c r="C141" s="9"/>
      <c r="D141" s="35" t="s">
        <v>36</v>
      </c>
      <c r="E141" s="10" t="s">
        <v>117</v>
      </c>
      <c r="F141" s="36" t="s">
        <v>36</v>
      </c>
      <c r="G141" s="67" t="s">
        <v>482</v>
      </c>
      <c r="I141" s="13" t="str">
        <f>IFERROR(__xludf.DUMMYFUNCTION("if(isblank(A141),,split(A141,""ー""))"),"1-120")</f>
        <v>1-120</v>
      </c>
      <c r="K141" s="13" t="str">
        <f>IFERROR(__xludf.DUMMYFUNCTION("if(isblank(B141),,split(B141,""ー""))"),"1-121")</f>
        <v>1-121</v>
      </c>
    </row>
    <row r="142">
      <c r="A142" s="33" t="s">
        <v>495</v>
      </c>
      <c r="B142" s="34" t="s">
        <v>497</v>
      </c>
      <c r="C142" s="9"/>
      <c r="D142" s="35" t="s">
        <v>36</v>
      </c>
      <c r="E142" s="10" t="s">
        <v>117</v>
      </c>
      <c r="F142" s="36" t="s">
        <v>36</v>
      </c>
      <c r="G142" s="67" t="s">
        <v>498</v>
      </c>
      <c r="I142" s="13" t="str">
        <f>IFERROR(__xludf.DUMMYFUNCTION("if(isblank(A142),,split(A142,""ー""))"),"1-120")</f>
        <v>1-120</v>
      </c>
      <c r="K142" s="13" t="str">
        <f>IFERROR(__xludf.DUMMYFUNCTION("if(isblank(B142),,split(B142,""ー""))"),"1-141")</f>
        <v>1-141</v>
      </c>
    </row>
    <row r="143">
      <c r="A143" s="33" t="s">
        <v>488</v>
      </c>
      <c r="B143" s="34" t="s">
        <v>499</v>
      </c>
      <c r="C143" s="9"/>
      <c r="D143" s="35" t="s">
        <v>36</v>
      </c>
      <c r="E143" s="10" t="s">
        <v>117</v>
      </c>
      <c r="F143" s="36" t="s">
        <v>36</v>
      </c>
      <c r="G143" s="67" t="s">
        <v>482</v>
      </c>
      <c r="I143" s="13" t="str">
        <f>IFERROR(__xludf.DUMMYFUNCTION("if(isblank(A143),,split(A143,""ー""))"),"1-122")</f>
        <v>1-122</v>
      </c>
      <c r="K143" s="13" t="str">
        <f>IFERROR(__xludf.DUMMYFUNCTION("if(isblank(B143),,split(B143,""ー""))"),"1-123")</f>
        <v>1-123</v>
      </c>
    </row>
    <row r="144">
      <c r="A144" s="33" t="s">
        <v>481</v>
      </c>
      <c r="B144" s="34" t="s">
        <v>500</v>
      </c>
      <c r="C144" s="9"/>
      <c r="D144" s="35" t="s">
        <v>36</v>
      </c>
      <c r="E144" s="10" t="s">
        <v>117</v>
      </c>
      <c r="F144" s="36" t="s">
        <v>36</v>
      </c>
      <c r="G144" s="67" t="s">
        <v>484</v>
      </c>
      <c r="I144" s="13" t="str">
        <f>IFERROR(__xludf.DUMMYFUNCTION("if(isblank(A144),,split(A144,""ー""))"),"1-125")</f>
        <v>1-125</v>
      </c>
      <c r="K144" s="13" t="str">
        <f>IFERROR(__xludf.DUMMYFUNCTION("if(isblank(B144),,split(B144,""ー""))"),"1-133")</f>
        <v>1-133</v>
      </c>
    </row>
    <row r="145">
      <c r="A145" s="33" t="s">
        <v>501</v>
      </c>
      <c r="B145" s="34" t="s">
        <v>502</v>
      </c>
      <c r="C145" s="9"/>
      <c r="D145" s="35" t="s">
        <v>36</v>
      </c>
      <c r="E145" s="10" t="s">
        <v>117</v>
      </c>
      <c r="F145" s="36" t="s">
        <v>36</v>
      </c>
      <c r="G145" s="67" t="s">
        <v>498</v>
      </c>
      <c r="I145" s="13" t="str">
        <f>IFERROR(__xludf.DUMMYFUNCTION("if(isblank(A145),,split(A145,""ー""))"),"1-126")</f>
        <v>1-126</v>
      </c>
      <c r="K145" s="13" t="str">
        <f>IFERROR(__xludf.DUMMYFUNCTION("if(isblank(B145),,split(B145,""ー""))"),"1-138")</f>
        <v>1-138</v>
      </c>
    </row>
    <row r="146">
      <c r="A146" s="33" t="s">
        <v>501</v>
      </c>
      <c r="B146" s="34" t="s">
        <v>503</v>
      </c>
      <c r="C146" s="9"/>
      <c r="D146" s="35" t="s">
        <v>36</v>
      </c>
      <c r="E146" s="10" t="s">
        <v>117</v>
      </c>
      <c r="F146" s="36" t="s">
        <v>36</v>
      </c>
      <c r="G146" s="67" t="s">
        <v>498</v>
      </c>
      <c r="I146" s="13" t="str">
        <f>IFERROR(__xludf.DUMMYFUNCTION("if(isblank(A146),,split(A146,""ー""))"),"1-126")</f>
        <v>1-126</v>
      </c>
      <c r="K146" s="13" t="str">
        <f>IFERROR(__xludf.DUMMYFUNCTION("if(isblank(B146),,split(B146,""ー""))"),"1-140")</f>
        <v>1-140</v>
      </c>
    </row>
    <row r="147">
      <c r="A147" s="33" t="s">
        <v>501</v>
      </c>
      <c r="B147" s="34" t="s">
        <v>504</v>
      </c>
      <c r="C147" s="9"/>
      <c r="D147" s="35" t="s">
        <v>36</v>
      </c>
      <c r="E147" s="10" t="s">
        <v>117</v>
      </c>
      <c r="F147" s="36" t="s">
        <v>36</v>
      </c>
      <c r="G147" s="67" t="s">
        <v>505</v>
      </c>
      <c r="I147" s="13" t="str">
        <f>IFERROR(__xludf.DUMMYFUNCTION("if(isblank(A147),,split(A147,""ー""))"),"1-126")</f>
        <v>1-126</v>
      </c>
      <c r="K147" s="13" t="str">
        <f>IFERROR(__xludf.DUMMYFUNCTION("if(isblank(B147),,split(B147,""ー""))"),"1-151")</f>
        <v>1-151</v>
      </c>
    </row>
    <row r="148">
      <c r="A148" s="33" t="s">
        <v>506</v>
      </c>
      <c r="B148" s="34" t="s">
        <v>507</v>
      </c>
      <c r="C148" s="9"/>
      <c r="D148" s="35" t="s">
        <v>36</v>
      </c>
      <c r="E148" s="10" t="s">
        <v>117</v>
      </c>
      <c r="F148" s="36" t="s">
        <v>36</v>
      </c>
      <c r="G148" s="67" t="s">
        <v>498</v>
      </c>
      <c r="I148" s="13" t="str">
        <f>IFERROR(__xludf.DUMMYFUNCTION("if(isblank(A148),,split(A148,""ー""))"),"1-128")</f>
        <v>1-128</v>
      </c>
      <c r="K148" s="13" t="str">
        <f>IFERROR(__xludf.DUMMYFUNCTION("if(isblank(B148),,split(B148,""ー""))"),"1-142")</f>
        <v>1-142</v>
      </c>
    </row>
    <row r="149">
      <c r="A149" s="33" t="s">
        <v>506</v>
      </c>
      <c r="B149" s="34" t="s">
        <v>507</v>
      </c>
      <c r="C149" s="9"/>
      <c r="D149" s="35" t="s">
        <v>36</v>
      </c>
      <c r="E149" s="10" t="s">
        <v>117</v>
      </c>
      <c r="F149" s="36" t="s">
        <v>36</v>
      </c>
      <c r="G149" s="67" t="s">
        <v>498</v>
      </c>
      <c r="I149" s="13" t="str">
        <f>IFERROR(__xludf.DUMMYFUNCTION("if(isblank(A149),,split(A149,""ー""))"),"1-128")</f>
        <v>1-128</v>
      </c>
      <c r="K149" s="13" t="str">
        <f>IFERROR(__xludf.DUMMYFUNCTION("if(isblank(B149),,split(B149,""ー""))"),"1-142")</f>
        <v>1-142</v>
      </c>
    </row>
    <row r="150">
      <c r="A150" s="33" t="s">
        <v>508</v>
      </c>
      <c r="B150" s="34" t="s">
        <v>509</v>
      </c>
      <c r="C150" s="9"/>
      <c r="D150" s="35" t="s">
        <v>36</v>
      </c>
      <c r="E150" s="10" t="s">
        <v>117</v>
      </c>
      <c r="F150" s="36" t="s">
        <v>36</v>
      </c>
      <c r="G150" s="67" t="s">
        <v>510</v>
      </c>
      <c r="I150" s="13" t="str">
        <f>IFERROR(__xludf.DUMMYFUNCTION("if(isblank(A150),,split(A150,""ー""))"),"1-135")</f>
        <v>1-135</v>
      </c>
      <c r="K150" s="13" t="str">
        <f>IFERROR(__xludf.DUMMYFUNCTION("if(isblank(B150),,split(B150,""ー""))"),"1-149")</f>
        <v>1-149</v>
      </c>
    </row>
    <row r="151">
      <c r="A151" s="33" t="s">
        <v>502</v>
      </c>
      <c r="B151" s="34" t="s">
        <v>503</v>
      </c>
      <c r="C151" s="9"/>
      <c r="D151" s="35" t="s">
        <v>36</v>
      </c>
      <c r="E151" s="10" t="s">
        <v>117</v>
      </c>
      <c r="F151" s="36" t="s">
        <v>36</v>
      </c>
      <c r="G151" s="67" t="s">
        <v>498</v>
      </c>
      <c r="I151" s="13" t="str">
        <f>IFERROR(__xludf.DUMMYFUNCTION("if(isblank(A151),,split(A151,""ー""))"),"1-138")</f>
        <v>1-138</v>
      </c>
      <c r="K151" s="13" t="str">
        <f>IFERROR(__xludf.DUMMYFUNCTION("if(isblank(B151),,split(B151,""ー""))"),"1-140")</f>
        <v>1-140</v>
      </c>
    </row>
    <row r="152">
      <c r="A152" s="33" t="s">
        <v>502</v>
      </c>
      <c r="B152" s="34" t="s">
        <v>504</v>
      </c>
      <c r="C152" s="9"/>
      <c r="D152" s="35" t="s">
        <v>36</v>
      </c>
      <c r="E152" s="10" t="s">
        <v>117</v>
      </c>
      <c r="F152" s="36" t="s">
        <v>36</v>
      </c>
      <c r="G152" s="67" t="s">
        <v>505</v>
      </c>
      <c r="I152" s="13" t="str">
        <f>IFERROR(__xludf.DUMMYFUNCTION("if(isblank(A152),,split(A152,""ー""))"),"1-138")</f>
        <v>1-138</v>
      </c>
      <c r="K152" s="13" t="str">
        <f>IFERROR(__xludf.DUMMYFUNCTION("if(isblank(B152),,split(B152,""ー""))"),"1-151")</f>
        <v>1-151</v>
      </c>
    </row>
    <row r="153">
      <c r="A153" s="33" t="s">
        <v>503</v>
      </c>
      <c r="B153" s="34" t="s">
        <v>504</v>
      </c>
      <c r="C153" s="9"/>
      <c r="D153" s="35" t="s">
        <v>36</v>
      </c>
      <c r="E153" s="10" t="s">
        <v>117</v>
      </c>
      <c r="F153" s="36" t="s">
        <v>36</v>
      </c>
      <c r="G153" s="67" t="s">
        <v>505</v>
      </c>
      <c r="I153" s="13" t="str">
        <f>IFERROR(__xludf.DUMMYFUNCTION("if(isblank(A153),,split(A153,""ー""))"),"1-140")</f>
        <v>1-140</v>
      </c>
      <c r="K153" s="13" t="str">
        <f>IFERROR(__xludf.DUMMYFUNCTION("if(isblank(B153),,split(B153,""ー""))"),"1-151")</f>
        <v>1-151</v>
      </c>
    </row>
    <row r="154">
      <c r="A154" s="33" t="s">
        <v>511</v>
      </c>
      <c r="B154" s="34" t="s">
        <v>512</v>
      </c>
      <c r="C154" s="9"/>
      <c r="D154" s="35" t="s">
        <v>36</v>
      </c>
      <c r="E154" s="10" t="s">
        <v>117</v>
      </c>
      <c r="F154" s="36" t="s">
        <v>36</v>
      </c>
      <c r="G154" s="67" t="s">
        <v>505</v>
      </c>
      <c r="I154" s="13" t="str">
        <f>IFERROR(__xludf.DUMMYFUNCTION("if(isblank(A154),,split(A154,""ー""))"),"1-143")</f>
        <v>1-143</v>
      </c>
      <c r="K154" s="13" t="str">
        <f>IFERROR(__xludf.DUMMYFUNCTION("if(isblank(B154),,split(B154,""ー""))"),"1-152")</f>
        <v>1-152</v>
      </c>
    </row>
    <row r="155">
      <c r="A155" s="33" t="s">
        <v>513</v>
      </c>
      <c r="B155" s="34" t="s">
        <v>514</v>
      </c>
      <c r="C155" s="9"/>
      <c r="D155" s="35" t="s">
        <v>36</v>
      </c>
      <c r="E155" s="10" t="s">
        <v>117</v>
      </c>
      <c r="F155" s="36" t="s">
        <v>36</v>
      </c>
      <c r="G155" s="67" t="s">
        <v>515</v>
      </c>
      <c r="I155" s="13" t="str">
        <f>IFERROR(__xludf.DUMMYFUNCTION("if(isblank(A155),,split(A155,""ー""))"),"1-147")</f>
        <v>1-147</v>
      </c>
      <c r="K155" s="13" t="str">
        <f>IFERROR(__xludf.DUMMYFUNCTION("if(isblank(B155),,split(B155,""ー""))"),"1-148")</f>
        <v>1-148</v>
      </c>
    </row>
    <row r="156">
      <c r="A156" s="33" t="s">
        <v>516</v>
      </c>
      <c r="B156" s="34" t="s">
        <v>177</v>
      </c>
      <c r="C156" s="9"/>
      <c r="D156" s="35" t="s">
        <v>36</v>
      </c>
      <c r="E156" s="10" t="s">
        <v>117</v>
      </c>
      <c r="F156" s="36" t="s">
        <v>179</v>
      </c>
      <c r="G156" s="37" t="s">
        <v>162</v>
      </c>
      <c r="I156" s="13" t="str">
        <f>IFERROR(__xludf.DUMMYFUNCTION("if(isblank(A156),,split(A156,""ー""))"),"1-33")</f>
        <v>1-33</v>
      </c>
      <c r="K156" s="13" t="str">
        <f>IFERROR(__xludf.DUMMYFUNCTION("if(isblank(B156),,split(B156,""ー""))"),"1-43")</f>
        <v>1-43</v>
      </c>
    </row>
    <row r="157">
      <c r="A157" s="33" t="s">
        <v>196</v>
      </c>
      <c r="B157" s="34" t="s">
        <v>177</v>
      </c>
      <c r="C157" s="9"/>
      <c r="D157" s="35" t="s">
        <v>36</v>
      </c>
      <c r="E157" s="10" t="s">
        <v>117</v>
      </c>
      <c r="F157" s="36" t="s">
        <v>179</v>
      </c>
      <c r="G157" s="37" t="s">
        <v>162</v>
      </c>
      <c r="I157" s="13" t="str">
        <f>IFERROR(__xludf.DUMMYFUNCTION("if(isblank(A157),,split(A157,""ー""))"),"1-40")</f>
        <v>1-40</v>
      </c>
      <c r="K157" s="13" t="str">
        <f>IFERROR(__xludf.DUMMYFUNCTION("if(isblank(B157),,split(B157,""ー""))"),"1-43")</f>
        <v>1-43</v>
      </c>
    </row>
    <row r="158">
      <c r="A158" s="33" t="s">
        <v>200</v>
      </c>
      <c r="B158" s="34" t="s">
        <v>177</v>
      </c>
      <c r="C158" s="9"/>
      <c r="D158" s="35" t="s">
        <v>36</v>
      </c>
      <c r="E158" s="10" t="s">
        <v>117</v>
      </c>
      <c r="F158" s="36" t="s">
        <v>179</v>
      </c>
      <c r="G158" s="37" t="s">
        <v>162</v>
      </c>
      <c r="I158" s="13" t="str">
        <f>IFERROR(__xludf.DUMMYFUNCTION("if(isblank(A158),,split(A158,""ー""))"),"1-41")</f>
        <v>1-41</v>
      </c>
      <c r="K158" s="13" t="str">
        <f>IFERROR(__xludf.DUMMYFUNCTION("if(isblank(B158),,split(B158,""ー""))"),"1-43")</f>
        <v>1-43</v>
      </c>
    </row>
    <row r="159">
      <c r="A159" s="33" t="s">
        <v>517</v>
      </c>
      <c r="B159" s="34" t="s">
        <v>518</v>
      </c>
      <c r="C159" s="9"/>
      <c r="D159" s="35" t="s">
        <v>36</v>
      </c>
      <c r="E159" s="10" t="s">
        <v>117</v>
      </c>
      <c r="F159" s="36" t="s">
        <v>36</v>
      </c>
      <c r="G159" s="37" t="s">
        <v>519</v>
      </c>
      <c r="I159" s="13" t="str">
        <f>IFERROR(__xludf.DUMMYFUNCTION("if(isblank(A159),,split(A159,""ー""))"),"1-42")</f>
        <v>1-42</v>
      </c>
      <c r="K159" s="13" t="str">
        <f>IFERROR(__xludf.DUMMYFUNCTION("if(isblank(B159),,split(B159,""ー""))"),"1-75")</f>
        <v>1-75</v>
      </c>
    </row>
    <row r="160">
      <c r="A160" s="33" t="s">
        <v>177</v>
      </c>
      <c r="B160" s="34" t="s">
        <v>520</v>
      </c>
      <c r="C160" s="9"/>
      <c r="D160" s="35" t="s">
        <v>521</v>
      </c>
      <c r="E160" s="10" t="s">
        <v>117</v>
      </c>
      <c r="F160" s="36" t="s">
        <v>179</v>
      </c>
      <c r="G160" s="68" t="s">
        <v>519</v>
      </c>
      <c r="I160" s="13" t="str">
        <f>IFERROR(__xludf.DUMMYFUNCTION("if(isblank(A160),,split(A160,""ー""))"),"1-43")</f>
        <v>1-43</v>
      </c>
      <c r="K160" s="13" t="str">
        <f>IFERROR(__xludf.DUMMYFUNCTION("if(isblank(B160),,split(B160,""ー""))"),"1-73")</f>
        <v>1-73</v>
      </c>
    </row>
    <row r="161">
      <c r="A161" s="33" t="s">
        <v>177</v>
      </c>
      <c r="B161" s="34" t="s">
        <v>522</v>
      </c>
      <c r="C161" s="9"/>
      <c r="D161" s="35" t="s">
        <v>521</v>
      </c>
      <c r="E161" s="10" t="s">
        <v>117</v>
      </c>
      <c r="F161" s="36" t="s">
        <v>179</v>
      </c>
      <c r="G161" s="68" t="s">
        <v>519</v>
      </c>
      <c r="I161" s="13" t="str">
        <f>IFERROR(__xludf.DUMMYFUNCTION("if(isblank(A161),,split(A161,""ー""))"),"1-43")</f>
        <v>1-43</v>
      </c>
      <c r="K161" s="13" t="str">
        <f>IFERROR(__xludf.DUMMYFUNCTION("if(isblank(B161),,split(B161,""ー""))"),"1-74")</f>
        <v>1-74</v>
      </c>
    </row>
    <row r="162">
      <c r="A162" s="33" t="s">
        <v>523</v>
      </c>
      <c r="B162" s="34" t="s">
        <v>524</v>
      </c>
      <c r="C162" s="9"/>
      <c r="D162" s="35" t="s">
        <v>36</v>
      </c>
      <c r="E162" s="10" t="s">
        <v>117</v>
      </c>
      <c r="F162" s="36" t="s">
        <v>36</v>
      </c>
      <c r="G162" s="37" t="s">
        <v>525</v>
      </c>
      <c r="I162" s="13" t="str">
        <f>IFERROR(__xludf.DUMMYFUNCTION("if(isblank(A162),,split(A162,""ー""))"),"1-46")</f>
        <v>1-46</v>
      </c>
      <c r="K162" s="13" t="str">
        <f>IFERROR(__xludf.DUMMYFUNCTION("if(isblank(B162),,split(B162,""ー""))"),"1-91")</f>
        <v>1-91</v>
      </c>
    </row>
    <row r="163">
      <c r="A163" s="33" t="s">
        <v>526</v>
      </c>
      <c r="B163" s="34" t="s">
        <v>527</v>
      </c>
      <c r="C163" s="9"/>
      <c r="D163" s="35" t="s">
        <v>36</v>
      </c>
      <c r="E163" s="10" t="s">
        <v>117</v>
      </c>
      <c r="F163" s="36" t="s">
        <v>36</v>
      </c>
      <c r="G163" s="37" t="s">
        <v>525</v>
      </c>
      <c r="I163" s="13" t="str">
        <f>IFERROR(__xludf.DUMMYFUNCTION("if(isblank(A163),,split(A163,""ー""))"),"1-60")</f>
        <v>1-60</v>
      </c>
      <c r="K163" s="13" t="str">
        <f>IFERROR(__xludf.DUMMYFUNCTION("if(isblank(B163),,split(B163,""ー""))"),"1-92")</f>
        <v>1-92</v>
      </c>
    </row>
    <row r="164">
      <c r="A164" s="33" t="s">
        <v>528</v>
      </c>
      <c r="B164" s="34" t="s">
        <v>529</v>
      </c>
      <c r="C164" s="9"/>
      <c r="D164" s="35" t="s">
        <v>36</v>
      </c>
      <c r="E164" s="10" t="s">
        <v>117</v>
      </c>
      <c r="F164" s="36" t="s">
        <v>36</v>
      </c>
      <c r="G164" s="67" t="s">
        <v>530</v>
      </c>
      <c r="I164" s="13" t="str">
        <f>IFERROR(__xludf.DUMMYFUNCTION("if(isblank(A164),,split(A164,""ー""))"),"1-69")</f>
        <v>1-69</v>
      </c>
      <c r="K164" s="13" t="str">
        <f>IFERROR(__xludf.DUMMYFUNCTION("if(isblank(B164),,split(B164,""ー""))"),"1-106")</f>
        <v>1-106</v>
      </c>
    </row>
    <row r="165">
      <c r="A165" s="33" t="s">
        <v>528</v>
      </c>
      <c r="B165" s="34" t="s">
        <v>531</v>
      </c>
      <c r="C165" s="9"/>
      <c r="D165" s="35" t="s">
        <v>36</v>
      </c>
      <c r="E165" s="10" t="s">
        <v>117</v>
      </c>
      <c r="F165" s="36" t="s">
        <v>36</v>
      </c>
      <c r="G165" s="67" t="s">
        <v>532</v>
      </c>
      <c r="I165" s="13" t="str">
        <f>IFERROR(__xludf.DUMMYFUNCTION("if(isblank(A165),,split(A165,""ー""))"),"1-69")</f>
        <v>1-69</v>
      </c>
      <c r="K165" s="13" t="str">
        <f>IFERROR(__xludf.DUMMYFUNCTION("if(isblank(B165),,split(B165,""ー""))"),"1-77")</f>
        <v>1-77</v>
      </c>
    </row>
    <row r="166">
      <c r="A166" s="33" t="s">
        <v>533</v>
      </c>
      <c r="B166" s="34" t="s">
        <v>534</v>
      </c>
      <c r="C166" s="9"/>
      <c r="D166" s="35" t="s">
        <v>535</v>
      </c>
      <c r="E166" s="10" t="s">
        <v>117</v>
      </c>
      <c r="F166" s="36" t="s">
        <v>493</v>
      </c>
      <c r="G166" s="67" t="s">
        <v>536</v>
      </c>
      <c r="I166" s="13" t="str">
        <f>IFERROR(__xludf.DUMMYFUNCTION("if(isblank(A166),,split(A166,""ー""))"),"1-70")</f>
        <v>1-70</v>
      </c>
      <c r="K166" s="13" t="str">
        <f>IFERROR(__xludf.DUMMYFUNCTION("if(isblank(B166),,split(B166,""ー""))"),"1-78")</f>
        <v>1-78</v>
      </c>
    </row>
    <row r="167">
      <c r="A167" s="33" t="s">
        <v>533</v>
      </c>
      <c r="B167" s="34" t="s">
        <v>537</v>
      </c>
      <c r="C167" s="9"/>
      <c r="D167" s="35" t="s">
        <v>535</v>
      </c>
      <c r="E167" s="10" t="s">
        <v>117</v>
      </c>
      <c r="F167" s="36" t="s">
        <v>493</v>
      </c>
      <c r="G167" s="67" t="s">
        <v>536</v>
      </c>
      <c r="I167" s="13" t="str">
        <f>IFERROR(__xludf.DUMMYFUNCTION("if(isblank(A167),,split(A167,""ー""))"),"1-70")</f>
        <v>1-70</v>
      </c>
      <c r="K167" s="13" t="str">
        <f>IFERROR(__xludf.DUMMYFUNCTION("if(isblank(B167),,split(B167,""ー""))"),"1-79")</f>
        <v>1-79</v>
      </c>
    </row>
    <row r="168">
      <c r="A168" s="33" t="s">
        <v>534</v>
      </c>
      <c r="B168" s="34" t="s">
        <v>489</v>
      </c>
      <c r="C168" s="9">
        <v>43887.0</v>
      </c>
      <c r="D168" s="35" t="s">
        <v>538</v>
      </c>
      <c r="E168" s="10" t="s">
        <v>117</v>
      </c>
      <c r="F168" s="36" t="s">
        <v>493</v>
      </c>
      <c r="G168" s="67" t="s">
        <v>539</v>
      </c>
      <c r="I168" s="13" t="str">
        <f>IFERROR(__xludf.DUMMYFUNCTION("if(isblank(A168),,split(A168,""ー""))"),"1-78")</f>
        <v>1-78</v>
      </c>
      <c r="K168" s="13" t="str">
        <f>IFERROR(__xludf.DUMMYFUNCTION("if(isblank(B168),,split(B168,""ー""))"),"1-111")</f>
        <v>1-111</v>
      </c>
    </row>
    <row r="169">
      <c r="A169" s="33" t="s">
        <v>534</v>
      </c>
      <c r="B169" s="34" t="s">
        <v>540</v>
      </c>
      <c r="C169" s="9"/>
      <c r="D169" s="35" t="s">
        <v>36</v>
      </c>
      <c r="E169" s="10" t="s">
        <v>117</v>
      </c>
      <c r="F169" s="36" t="s">
        <v>36</v>
      </c>
      <c r="G169" s="67" t="s">
        <v>482</v>
      </c>
      <c r="I169" s="13" t="str">
        <f>IFERROR(__xludf.DUMMYFUNCTION("if(isblank(A169),,split(A169,""ー""))"),"1-78")</f>
        <v>1-78</v>
      </c>
      <c r="K169" s="13" t="str">
        <f>IFERROR(__xludf.DUMMYFUNCTION("if(isblank(B169),,split(B169,""ー""))"),"1-124")</f>
        <v>1-124</v>
      </c>
    </row>
    <row r="170">
      <c r="A170" s="33" t="s">
        <v>537</v>
      </c>
      <c r="B170" s="34" t="s">
        <v>485</v>
      </c>
      <c r="C170" s="9"/>
      <c r="D170" s="35" t="s">
        <v>541</v>
      </c>
      <c r="E170" s="10" t="s">
        <v>117</v>
      </c>
      <c r="F170" s="36" t="s">
        <v>36</v>
      </c>
      <c r="G170" s="67" t="s">
        <v>542</v>
      </c>
      <c r="I170" s="13" t="str">
        <f>IFERROR(__xludf.DUMMYFUNCTION("if(isblank(A170),,split(A170,""ー""))"),"1-79")</f>
        <v>1-79</v>
      </c>
      <c r="K170" s="13" t="str">
        <f>IFERROR(__xludf.DUMMYFUNCTION("if(isblank(B170),,split(B170,""ー""))"),"1-110")</f>
        <v>1-110</v>
      </c>
    </row>
    <row r="171">
      <c r="A171" s="33" t="s">
        <v>537</v>
      </c>
      <c r="B171" s="34" t="s">
        <v>489</v>
      </c>
      <c r="C171" s="9">
        <v>43887.0</v>
      </c>
      <c r="D171" s="35" t="s">
        <v>538</v>
      </c>
      <c r="E171" s="10" t="s">
        <v>117</v>
      </c>
      <c r="F171" s="36" t="s">
        <v>493</v>
      </c>
      <c r="G171" s="67" t="s">
        <v>542</v>
      </c>
      <c r="I171" s="13" t="str">
        <f>IFERROR(__xludf.DUMMYFUNCTION("if(isblank(A171),,split(A171,""ー""))"),"1-79")</f>
        <v>1-79</v>
      </c>
      <c r="K171" s="13" t="str">
        <f>IFERROR(__xludf.DUMMYFUNCTION("if(isblank(B171),,split(B171,""ー""))"),"1-111")</f>
        <v>1-111</v>
      </c>
    </row>
    <row r="172">
      <c r="A172" s="33" t="s">
        <v>537</v>
      </c>
      <c r="B172" s="34" t="s">
        <v>540</v>
      </c>
      <c r="C172" s="9"/>
      <c r="D172" s="35" t="s">
        <v>36</v>
      </c>
      <c r="E172" s="10" t="s">
        <v>117</v>
      </c>
      <c r="F172" s="36" t="s">
        <v>36</v>
      </c>
      <c r="G172" s="67" t="s">
        <v>482</v>
      </c>
      <c r="I172" s="13" t="str">
        <f>IFERROR(__xludf.DUMMYFUNCTION("if(isblank(A172),,split(A172,""ー""))"),"1-79")</f>
        <v>1-79</v>
      </c>
      <c r="K172" s="13" t="str">
        <f>IFERROR(__xludf.DUMMYFUNCTION("if(isblank(B172),,split(B172,""ー""))"),"1-124")</f>
        <v>1-124</v>
      </c>
    </row>
    <row r="173">
      <c r="A173" s="33" t="s">
        <v>537</v>
      </c>
      <c r="B173" s="34" t="s">
        <v>543</v>
      </c>
      <c r="C173" s="9"/>
      <c r="D173" s="35" t="s">
        <v>165</v>
      </c>
      <c r="E173" s="10" t="s">
        <v>117</v>
      </c>
      <c r="F173" s="11" t="s">
        <v>544</v>
      </c>
      <c r="G173" s="67" t="s">
        <v>545</v>
      </c>
      <c r="I173" s="13" t="str">
        <f>IFERROR(__xludf.DUMMYFUNCTION("if(isblank(A173),,split(A173,""ー""))"),"1-79")</f>
        <v>1-79</v>
      </c>
      <c r="K173" s="13" t="str">
        <f>IFERROR(__xludf.DUMMYFUNCTION("if(isblank(B173),,split(B173,""ー""))"),"1-84")</f>
        <v>1-84</v>
      </c>
    </row>
    <row r="174">
      <c r="A174" s="33" t="s">
        <v>537</v>
      </c>
      <c r="B174" s="34" t="s">
        <v>546</v>
      </c>
      <c r="C174" s="9"/>
      <c r="D174" s="35" t="s">
        <v>165</v>
      </c>
      <c r="E174" s="10" t="s">
        <v>117</v>
      </c>
      <c r="F174" s="11" t="s">
        <v>544</v>
      </c>
      <c r="G174" s="67" t="s">
        <v>545</v>
      </c>
      <c r="I174" s="13" t="str">
        <f>IFERROR(__xludf.DUMMYFUNCTION("if(isblank(A174),,split(A174,""ー""))"),"1-79")</f>
        <v>1-79</v>
      </c>
      <c r="K174" s="13" t="str">
        <f>IFERROR(__xludf.DUMMYFUNCTION("if(isblank(B174),,split(B174,""ー""))"),"1-85")</f>
        <v>1-85</v>
      </c>
    </row>
    <row r="175">
      <c r="A175" s="33" t="s">
        <v>537</v>
      </c>
      <c r="B175" s="34" t="s">
        <v>547</v>
      </c>
      <c r="C175" s="9">
        <v>43887.0</v>
      </c>
      <c r="D175" s="35" t="s">
        <v>538</v>
      </c>
      <c r="E175" s="10" t="s">
        <v>117</v>
      </c>
      <c r="F175" s="36" t="s">
        <v>493</v>
      </c>
      <c r="G175" s="67" t="s">
        <v>548</v>
      </c>
      <c r="I175" s="13" t="str">
        <f>IFERROR(__xludf.DUMMYFUNCTION("if(isblank(A175),,split(A175,""ー""))"),"1-79")</f>
        <v>1-79</v>
      </c>
      <c r="K175" s="13" t="str">
        <f>IFERROR(__xludf.DUMMYFUNCTION("if(isblank(B175),,split(B175,""ー""))"),"1-97")</f>
        <v>1-97</v>
      </c>
    </row>
    <row r="176">
      <c r="A176" s="33" t="s">
        <v>537</v>
      </c>
      <c r="B176" s="34" t="s">
        <v>549</v>
      </c>
      <c r="C176" s="9">
        <v>43887.0</v>
      </c>
      <c r="D176" s="35" t="s">
        <v>538</v>
      </c>
      <c r="E176" s="10" t="s">
        <v>117</v>
      </c>
      <c r="F176" s="36" t="s">
        <v>493</v>
      </c>
      <c r="G176" s="67" t="s">
        <v>548</v>
      </c>
      <c r="I176" s="13" t="str">
        <f>IFERROR(__xludf.DUMMYFUNCTION("if(isblank(A176),,split(A176,""ー""))"),"1-79")</f>
        <v>1-79</v>
      </c>
      <c r="K176" s="13" t="str">
        <f>IFERROR(__xludf.DUMMYFUNCTION("if(isblank(B176),,split(B176,""ー""))"),"1-98")</f>
        <v>1-98</v>
      </c>
    </row>
    <row r="177">
      <c r="A177" s="33" t="s">
        <v>550</v>
      </c>
      <c r="B177" s="34" t="s">
        <v>551</v>
      </c>
      <c r="C177" s="9"/>
      <c r="D177" s="35" t="s">
        <v>36</v>
      </c>
      <c r="E177" s="10" t="s">
        <v>117</v>
      </c>
      <c r="F177" s="36" t="s">
        <v>36</v>
      </c>
      <c r="G177" s="67" t="s">
        <v>552</v>
      </c>
      <c r="I177" s="13" t="str">
        <f>IFERROR(__xludf.DUMMYFUNCTION("if(isblank(A177),,split(A177,""ー""))"),"1-81")</f>
        <v>1-81</v>
      </c>
      <c r="K177" s="13" t="str">
        <f>IFERROR(__xludf.DUMMYFUNCTION("if(isblank(B177),,split(B177,""ー""))"),"1-118")</f>
        <v>1-118</v>
      </c>
    </row>
    <row r="178">
      <c r="A178" s="33" t="s">
        <v>553</v>
      </c>
      <c r="B178" s="34" t="s">
        <v>554</v>
      </c>
      <c r="C178" s="9"/>
      <c r="D178" s="35" t="s">
        <v>417</v>
      </c>
      <c r="E178" s="10" t="s">
        <v>117</v>
      </c>
      <c r="F178" s="36" t="s">
        <v>555</v>
      </c>
      <c r="G178" s="67" t="s">
        <v>556</v>
      </c>
      <c r="I178" s="13" t="str">
        <f>IFERROR(__xludf.DUMMYFUNCTION("if(isblank(A178),,split(A178,""ー""))"),"1-83")</f>
        <v>1-83</v>
      </c>
      <c r="K178" s="13" t="str">
        <f>IFERROR(__xludf.DUMMYFUNCTION("if(isblank(B178),,split(B178,""ー""))"),"1-115")</f>
        <v>1-115</v>
      </c>
    </row>
    <row r="179">
      <c r="A179" s="33" t="s">
        <v>553</v>
      </c>
      <c r="B179" s="34" t="s">
        <v>557</v>
      </c>
      <c r="C179" s="9"/>
      <c r="D179" s="35" t="s">
        <v>36</v>
      </c>
      <c r="E179" s="10" t="s">
        <v>117</v>
      </c>
      <c r="F179" s="36" t="s">
        <v>36</v>
      </c>
      <c r="G179" s="67" t="s">
        <v>558</v>
      </c>
      <c r="I179" s="13" t="str">
        <f>IFERROR(__xludf.DUMMYFUNCTION("if(isblank(A179),,split(A179,""ー""))"),"1-83")</f>
        <v>1-83</v>
      </c>
      <c r="K179" s="13" t="str">
        <f>IFERROR(__xludf.DUMMYFUNCTION("if(isblank(B179),,split(B179,""ー""))"),"1-144")</f>
        <v>1-144</v>
      </c>
    </row>
    <row r="180">
      <c r="A180" s="33" t="s">
        <v>553</v>
      </c>
      <c r="B180" s="34" t="s">
        <v>559</v>
      </c>
      <c r="C180" s="9"/>
      <c r="D180" s="35" t="s">
        <v>36</v>
      </c>
      <c r="E180" s="10" t="s">
        <v>117</v>
      </c>
      <c r="F180" s="36" t="s">
        <v>36</v>
      </c>
      <c r="G180" s="67" t="s">
        <v>548</v>
      </c>
      <c r="I180" s="13" t="str">
        <f>IFERROR(__xludf.DUMMYFUNCTION("if(isblank(A180),,split(A180,""ー""))"),"1-83")</f>
        <v>1-83</v>
      </c>
      <c r="K180" s="13" t="str">
        <f>IFERROR(__xludf.DUMMYFUNCTION("if(isblank(B180),,split(B180,""ー""))"),"1-96")</f>
        <v>1-96</v>
      </c>
    </row>
    <row r="181">
      <c r="A181" s="33" t="s">
        <v>560</v>
      </c>
      <c r="B181" s="34" t="s">
        <v>561</v>
      </c>
      <c r="C181" s="9"/>
      <c r="D181" s="35" t="s">
        <v>36</v>
      </c>
      <c r="E181" s="10" t="s">
        <v>117</v>
      </c>
      <c r="F181" s="36" t="s">
        <v>36</v>
      </c>
      <c r="G181" s="67" t="s">
        <v>562</v>
      </c>
      <c r="I181" s="13" t="str">
        <f>IFERROR(__xludf.DUMMYFUNCTION("if(isblank(A181),,split(A181,""ー""))"),"1-87")</f>
        <v>1-87</v>
      </c>
      <c r="K181" s="13" t="str">
        <f>IFERROR(__xludf.DUMMYFUNCTION("if(isblank(B181),,split(B181,""ー""))"),"1-116")</f>
        <v>1-116</v>
      </c>
    </row>
    <row r="182">
      <c r="A182" s="33" t="s">
        <v>560</v>
      </c>
      <c r="B182" s="34" t="s">
        <v>563</v>
      </c>
      <c r="C182" s="9"/>
      <c r="D182" s="35" t="s">
        <v>36</v>
      </c>
      <c r="E182" s="10" t="s">
        <v>117</v>
      </c>
      <c r="F182" s="36" t="s">
        <v>36</v>
      </c>
      <c r="G182" s="67" t="s">
        <v>494</v>
      </c>
      <c r="I182" s="13" t="str">
        <f>IFERROR(__xludf.DUMMYFUNCTION("if(isblank(A182),,split(A182,""ー""))"),"1-87")</f>
        <v>1-87</v>
      </c>
      <c r="K182" s="13" t="str">
        <f>IFERROR(__xludf.DUMMYFUNCTION("if(isblank(B182),,split(B182,""ー""))"),"1-134")</f>
        <v>1-134</v>
      </c>
    </row>
    <row r="183">
      <c r="A183" s="33" t="s">
        <v>564</v>
      </c>
      <c r="B183" s="34" t="s">
        <v>477</v>
      </c>
      <c r="C183" s="9"/>
      <c r="D183" s="35" t="s">
        <v>36</v>
      </c>
      <c r="E183" s="10" t="s">
        <v>117</v>
      </c>
      <c r="F183" s="36" t="s">
        <v>36</v>
      </c>
      <c r="G183" s="67" t="s">
        <v>479</v>
      </c>
      <c r="I183" s="13" t="str">
        <f>IFERROR(__xludf.DUMMYFUNCTION("if(isblank(A183),,split(A183,""ー""))"),"1-88")</f>
        <v>1-88</v>
      </c>
      <c r="K183" s="13" t="str">
        <f>IFERROR(__xludf.DUMMYFUNCTION("if(isblank(B183),,split(B183,""ー""))"),"1-107")</f>
        <v>1-107</v>
      </c>
    </row>
    <row r="184">
      <c r="A184" s="33" t="s">
        <v>564</v>
      </c>
      <c r="B184" s="34" t="s">
        <v>478</v>
      </c>
      <c r="C184" s="9"/>
      <c r="D184" s="35" t="s">
        <v>36</v>
      </c>
      <c r="E184" s="10" t="s">
        <v>117</v>
      </c>
      <c r="F184" s="36" t="s">
        <v>36</v>
      </c>
      <c r="G184" s="67" t="s">
        <v>479</v>
      </c>
      <c r="I184" s="13" t="str">
        <f>IFERROR(__xludf.DUMMYFUNCTION("if(isblank(A184),,split(A184,""ー""))"),"1-88")</f>
        <v>1-88</v>
      </c>
      <c r="K184" s="13" t="str">
        <f>IFERROR(__xludf.DUMMYFUNCTION("if(isblank(B184),,split(B184,""ー""))"),"1-108")</f>
        <v>1-108</v>
      </c>
    </row>
    <row r="185">
      <c r="A185" s="33" t="s">
        <v>565</v>
      </c>
      <c r="B185" s="34" t="s">
        <v>566</v>
      </c>
      <c r="C185" s="9"/>
      <c r="D185" s="35" t="s">
        <v>36</v>
      </c>
      <c r="E185" s="10" t="s">
        <v>117</v>
      </c>
      <c r="F185" s="36" t="s">
        <v>36</v>
      </c>
      <c r="G185" s="67" t="s">
        <v>530</v>
      </c>
      <c r="I185" s="13" t="str">
        <f>IFERROR(__xludf.DUMMYFUNCTION("if(isblank(A185),,split(A185,""ー""))"),"1-95")</f>
        <v>1-95</v>
      </c>
      <c r="K185" s="13" t="str">
        <f>IFERROR(__xludf.DUMMYFUNCTION("if(isblank(B185),,split(B185,""ー""))"),"1-103")</f>
        <v>1-103</v>
      </c>
    </row>
    <row r="186">
      <c r="A186" s="33" t="s">
        <v>565</v>
      </c>
      <c r="B186" s="34" t="s">
        <v>567</v>
      </c>
      <c r="C186" s="9"/>
      <c r="D186" s="35" t="s">
        <v>36</v>
      </c>
      <c r="E186" s="10" t="s">
        <v>117</v>
      </c>
      <c r="F186" s="36" t="s">
        <v>36</v>
      </c>
      <c r="G186" s="67" t="s">
        <v>530</v>
      </c>
      <c r="I186" s="13" t="str">
        <f>IFERROR(__xludf.DUMMYFUNCTION("if(isblank(A186),,split(A186,""ー""))"),"1-95")</f>
        <v>1-95</v>
      </c>
      <c r="K186" s="13" t="str">
        <f>IFERROR(__xludf.DUMMYFUNCTION("if(isblank(B186),,split(B186,""ー""))"),"1-104")</f>
        <v>1-104</v>
      </c>
    </row>
    <row r="187">
      <c r="A187" s="33" t="s">
        <v>565</v>
      </c>
      <c r="B187" s="34" t="s">
        <v>568</v>
      </c>
      <c r="C187" s="9"/>
      <c r="D187" s="35" t="s">
        <v>36</v>
      </c>
      <c r="E187" s="10" t="s">
        <v>117</v>
      </c>
      <c r="F187" s="36" t="s">
        <v>36</v>
      </c>
      <c r="G187" s="67" t="s">
        <v>530</v>
      </c>
      <c r="I187" s="13" t="str">
        <f>IFERROR(__xludf.DUMMYFUNCTION("if(isblank(A187),,split(A187,""ー""))"),"1-95")</f>
        <v>1-95</v>
      </c>
      <c r="K187" s="13" t="str">
        <f>IFERROR(__xludf.DUMMYFUNCTION("if(isblank(B187),,split(B187,""ー""))"),"1-105")</f>
        <v>1-105</v>
      </c>
    </row>
    <row r="188">
      <c r="A188" s="33" t="s">
        <v>559</v>
      </c>
      <c r="B188" s="34" t="s">
        <v>557</v>
      </c>
      <c r="C188" s="9"/>
      <c r="D188" s="35" t="s">
        <v>36</v>
      </c>
      <c r="E188" s="10" t="s">
        <v>117</v>
      </c>
      <c r="F188" s="36" t="s">
        <v>36</v>
      </c>
      <c r="G188" s="67" t="s">
        <v>558</v>
      </c>
      <c r="I188" s="13" t="str">
        <f>IFERROR(__xludf.DUMMYFUNCTION("if(isblank(A188),,split(A188,""ー""))"),"1-96")</f>
        <v>1-96</v>
      </c>
      <c r="K188" s="13" t="str">
        <f>IFERROR(__xludf.DUMMYFUNCTION("if(isblank(B188),,split(B188,""ー""))"),"1-144")</f>
        <v>1-144</v>
      </c>
    </row>
    <row r="189">
      <c r="A189" s="33" t="s">
        <v>549</v>
      </c>
      <c r="B189" s="34" t="s">
        <v>480</v>
      </c>
      <c r="C189" s="9"/>
      <c r="D189" s="35" t="s">
        <v>569</v>
      </c>
      <c r="E189" s="10" t="s">
        <v>117</v>
      </c>
      <c r="F189" s="36" t="s">
        <v>36</v>
      </c>
      <c r="G189" s="67" t="s">
        <v>542</v>
      </c>
      <c r="I189" s="13" t="str">
        <f>IFERROR(__xludf.DUMMYFUNCTION("if(isblank(A189),,split(A189,""ー""))"),"1-98")</f>
        <v>1-98</v>
      </c>
      <c r="K189" s="13" t="str">
        <f>IFERROR(__xludf.DUMMYFUNCTION("if(isblank(B189),,split(B189,""ー""))"),"1-109")</f>
        <v>1-109</v>
      </c>
    </row>
    <row r="190">
      <c r="A190" s="33" t="s">
        <v>549</v>
      </c>
      <c r="B190" s="34" t="s">
        <v>481</v>
      </c>
      <c r="C190" s="9"/>
      <c r="D190" s="35" t="s">
        <v>36</v>
      </c>
      <c r="E190" s="10" t="s">
        <v>117</v>
      </c>
      <c r="F190" s="36" t="s">
        <v>36</v>
      </c>
      <c r="G190" s="67" t="s">
        <v>482</v>
      </c>
      <c r="I190" s="13" t="str">
        <f>IFERROR(__xludf.DUMMYFUNCTION("if(isblank(A190),,split(A190,""ー""))"),"1-98")</f>
        <v>1-98</v>
      </c>
      <c r="K190" s="13" t="str">
        <f>IFERROR(__xludf.DUMMYFUNCTION("if(isblank(B190),,split(B190,""ー""))"),"1-125")</f>
        <v>1-125</v>
      </c>
    </row>
    <row r="191">
      <c r="A191" s="33" t="s">
        <v>570</v>
      </c>
      <c r="B191" s="34" t="s">
        <v>571</v>
      </c>
      <c r="C191" s="9"/>
      <c r="D191" s="35" t="s">
        <v>36</v>
      </c>
      <c r="E191" s="10" t="s">
        <v>117</v>
      </c>
      <c r="F191" s="36" t="s">
        <v>36</v>
      </c>
      <c r="G191" s="67" t="s">
        <v>572</v>
      </c>
      <c r="I191" s="13" t="str">
        <f>IFERROR(__xludf.DUMMYFUNCTION("if(isblank(A191),,split(A191,""ー""))"),"1-99")</f>
        <v>1-99</v>
      </c>
      <c r="K191" s="13" t="str">
        <f>IFERROR(__xludf.DUMMYFUNCTION("if(isblank(B191),,split(B191,""ー""))"),"1-100")</f>
        <v>1-100</v>
      </c>
    </row>
    <row r="192">
      <c r="A192" s="15" t="s">
        <v>573</v>
      </c>
      <c r="B192" s="16" t="s">
        <v>574</v>
      </c>
      <c r="C192" s="9"/>
      <c r="D192" s="10" t="s">
        <v>165</v>
      </c>
      <c r="E192" s="10" t="s">
        <v>436</v>
      </c>
      <c r="F192" s="11" t="s">
        <v>575</v>
      </c>
      <c r="G192" s="12" t="s">
        <v>576</v>
      </c>
      <c r="I192" s="13" t="str">
        <f>IFERROR(__xludf.DUMMYFUNCTION("if(isblank(A192),,split(A192,""ー""))"),"11-102")</f>
        <v>11-102</v>
      </c>
      <c r="K192" s="13" t="str">
        <f>IFERROR(__xludf.DUMMYFUNCTION("if(isblank(B192),,split(B192,""ー""))"),"11-112")</f>
        <v>11-112</v>
      </c>
    </row>
    <row r="193">
      <c r="A193" s="69" t="s">
        <v>577</v>
      </c>
      <c r="B193" s="16" t="s">
        <v>578</v>
      </c>
      <c r="C193" s="61"/>
      <c r="D193" s="6" t="s">
        <v>36</v>
      </c>
      <c r="E193" s="10" t="s">
        <v>436</v>
      </c>
      <c r="F193" s="6" t="s">
        <v>36</v>
      </c>
      <c r="G193" s="49" t="s">
        <v>579</v>
      </c>
      <c r="I193" s="13" t="str">
        <f>IFERROR(__xludf.DUMMYFUNCTION("if(isblank(A193),,split(A193,""ー""))"),"11-107")</f>
        <v>11-107</v>
      </c>
      <c r="K193" s="13" t="str">
        <f>IFERROR(__xludf.DUMMYFUNCTION("if(isblank(B193),,split(B193,""ー""))"),"11-141")</f>
        <v>11-141</v>
      </c>
    </row>
    <row r="194">
      <c r="A194" s="15" t="s">
        <v>580</v>
      </c>
      <c r="B194" s="16" t="s">
        <v>581</v>
      </c>
      <c r="C194" s="61"/>
      <c r="D194" s="6" t="s">
        <v>308</v>
      </c>
      <c r="E194" s="10" t="s">
        <v>436</v>
      </c>
      <c r="F194" s="6" t="s">
        <v>36</v>
      </c>
      <c r="G194" s="49" t="s">
        <v>582</v>
      </c>
      <c r="I194" s="13" t="str">
        <f>IFERROR(__xludf.DUMMYFUNCTION("if(isblank(A194),,split(A194,""ー""))"),"11-115")</f>
        <v>11-115</v>
      </c>
      <c r="K194" s="13" t="str">
        <f>IFERROR(__xludf.DUMMYFUNCTION("if(isblank(B194),,split(B194,""ー""))"),"11-116")</f>
        <v>11-116</v>
      </c>
    </row>
    <row r="195">
      <c r="A195" s="15" t="s">
        <v>580</v>
      </c>
      <c r="B195" s="16" t="s">
        <v>583</v>
      </c>
      <c r="C195" s="61"/>
      <c r="D195" s="6" t="s">
        <v>308</v>
      </c>
      <c r="E195" s="10" t="s">
        <v>436</v>
      </c>
      <c r="F195" s="6" t="s">
        <v>36</v>
      </c>
      <c r="G195" s="49" t="s">
        <v>582</v>
      </c>
      <c r="I195" s="13" t="str">
        <f>IFERROR(__xludf.DUMMYFUNCTION("if(isblank(A195),,split(A195,""ー""))"),"11-115")</f>
        <v>11-115</v>
      </c>
      <c r="K195" s="13" t="str">
        <f>IFERROR(__xludf.DUMMYFUNCTION("if(isblank(B195),,split(B195,""ー""))"),"11-117")</f>
        <v>11-117</v>
      </c>
    </row>
    <row r="196">
      <c r="A196" s="15" t="s">
        <v>580</v>
      </c>
      <c r="B196" s="16" t="s">
        <v>584</v>
      </c>
      <c r="C196" s="13"/>
      <c r="D196" s="6" t="s">
        <v>308</v>
      </c>
      <c r="E196" s="10" t="s">
        <v>436</v>
      </c>
      <c r="F196" s="6" t="s">
        <v>36</v>
      </c>
      <c r="G196" s="49" t="s">
        <v>582</v>
      </c>
      <c r="I196" s="13" t="str">
        <f>IFERROR(__xludf.DUMMYFUNCTION("if(isblank(A196),,split(A196,""ー""))"),"11-115")</f>
        <v>11-115</v>
      </c>
      <c r="K196" s="13" t="str">
        <f>IFERROR(__xludf.DUMMYFUNCTION("if(isblank(B196),,split(B196,""ー""))"),"11-137")</f>
        <v>11-137</v>
      </c>
    </row>
    <row r="197">
      <c r="A197" s="70" t="s">
        <v>585</v>
      </c>
      <c r="B197" s="71" t="s">
        <v>586</v>
      </c>
      <c r="C197" s="72"/>
      <c r="D197" s="55" t="s">
        <v>587</v>
      </c>
      <c r="E197" s="55" t="s">
        <v>588</v>
      </c>
      <c r="F197" s="48" t="s">
        <v>589</v>
      </c>
      <c r="G197" s="73" t="s">
        <v>590</v>
      </c>
      <c r="H197" s="4"/>
      <c r="I197" s="13" t="str">
        <f>IFERROR(__xludf.DUMMYFUNCTION("if(isblank(A197),,split(A197,""ー""))"),"11-119")</f>
        <v>11-119</v>
      </c>
      <c r="K197" s="38">
        <f>IFERROR(__xludf.DUMMYFUNCTION("if(isblank(B197),,split(B197,""ー""))"),44047.0)</f>
        <v>44047</v>
      </c>
    </row>
    <row r="198">
      <c r="A198" s="15" t="s">
        <v>591</v>
      </c>
      <c r="B198" s="16" t="s">
        <v>592</v>
      </c>
      <c r="C198" s="9"/>
      <c r="D198" s="10" t="s">
        <v>165</v>
      </c>
      <c r="E198" s="10" t="s">
        <v>436</v>
      </c>
      <c r="F198" s="11" t="s">
        <v>593</v>
      </c>
      <c r="G198" s="12" t="s">
        <v>594</v>
      </c>
      <c r="I198" s="13" t="str">
        <f>IFERROR(__xludf.DUMMYFUNCTION("if(isblank(A198),,split(A198,""ー""))"),"11-124")</f>
        <v>11-124</v>
      </c>
      <c r="K198" s="13" t="str">
        <f>IFERROR(__xludf.DUMMYFUNCTION("if(isblank(B198),,split(B198,""ー""))"),"11-171")</f>
        <v>11-171</v>
      </c>
    </row>
    <row r="199">
      <c r="A199" s="15" t="s">
        <v>591</v>
      </c>
      <c r="B199" s="16" t="s">
        <v>595</v>
      </c>
      <c r="C199" s="9"/>
      <c r="D199" s="10" t="s">
        <v>165</v>
      </c>
      <c r="E199" s="10" t="s">
        <v>436</v>
      </c>
      <c r="F199" s="11" t="s">
        <v>593</v>
      </c>
      <c r="G199" s="12" t="s">
        <v>594</v>
      </c>
      <c r="I199" s="13" t="str">
        <f>IFERROR(__xludf.DUMMYFUNCTION("if(isblank(A199),,split(A199,""ー""))"),"11-124")</f>
        <v>11-124</v>
      </c>
      <c r="K199" s="13" t="str">
        <f>IFERROR(__xludf.DUMMYFUNCTION("if(isblank(B199),,split(B199,""ー""))"),"11-172")</f>
        <v>11-172</v>
      </c>
    </row>
    <row r="200">
      <c r="A200" s="15" t="s">
        <v>591</v>
      </c>
      <c r="B200" s="41" t="s">
        <v>596</v>
      </c>
      <c r="C200" s="61"/>
      <c r="D200" s="10" t="s">
        <v>596</v>
      </c>
      <c r="E200" s="10" t="s">
        <v>436</v>
      </c>
      <c r="F200" s="11" t="s">
        <v>36</v>
      </c>
      <c r="G200" s="12" t="s">
        <v>576</v>
      </c>
      <c r="I200" s="13" t="str">
        <f>IFERROR(__xludf.DUMMYFUNCTION("if(isblank(A200),,split(A200,""ー""))"),"11-124")</f>
        <v>11-124</v>
      </c>
      <c r="K200" s="13" t="str">
        <f>IFERROR(__xludf.DUMMYFUNCTION("if(isblank(B200),,split(B200,""ー""))"),"職場の同僚")</f>
        <v>職場の同僚</v>
      </c>
    </row>
    <row r="201">
      <c r="A201" s="15" t="s">
        <v>597</v>
      </c>
      <c r="B201" s="74" t="s">
        <v>596</v>
      </c>
      <c r="C201" s="13"/>
      <c r="D201" s="6" t="s">
        <v>596</v>
      </c>
      <c r="E201" s="10" t="s">
        <v>436</v>
      </c>
      <c r="F201" s="11" t="s">
        <v>36</v>
      </c>
      <c r="G201" s="49" t="s">
        <v>576</v>
      </c>
      <c r="I201" s="13" t="str">
        <f>IFERROR(__xludf.DUMMYFUNCTION("if(isblank(A201),,split(A201,""ー""))"),"11-125")</f>
        <v>11-125</v>
      </c>
      <c r="K201" s="13" t="str">
        <f>IFERROR(__xludf.DUMMYFUNCTION("if(isblank(B201),,split(B201,""ー""))"),"職場の同僚")</f>
        <v>職場の同僚</v>
      </c>
    </row>
    <row r="202">
      <c r="A202" s="15" t="s">
        <v>598</v>
      </c>
      <c r="B202" s="75" t="s">
        <v>599</v>
      </c>
      <c r="C202" s="61"/>
      <c r="D202" s="10" t="s">
        <v>165</v>
      </c>
      <c r="E202" s="10" t="s">
        <v>436</v>
      </c>
      <c r="F202" s="11" t="s">
        <v>600</v>
      </c>
      <c r="G202" s="12" t="s">
        <v>576</v>
      </c>
      <c r="I202" s="13" t="str">
        <f>IFERROR(__xludf.DUMMYFUNCTION("if(isblank(A202),,split(A202,""ー""))"),"11-126")</f>
        <v>11-126</v>
      </c>
      <c r="K202" s="13" t="str">
        <f>IFERROR(__xludf.DUMMYFUNCTION("if(isblank(B202),,split(B202,""ー""))"),"11-127")</f>
        <v>11-127</v>
      </c>
    </row>
    <row r="203">
      <c r="A203" s="15" t="s">
        <v>598</v>
      </c>
      <c r="B203" s="41" t="s">
        <v>601</v>
      </c>
      <c r="C203" s="61"/>
      <c r="D203" s="10" t="s">
        <v>601</v>
      </c>
      <c r="E203" s="10" t="s">
        <v>436</v>
      </c>
      <c r="F203" s="11" t="s">
        <v>36</v>
      </c>
      <c r="G203" s="76" t="s">
        <v>576</v>
      </c>
      <c r="I203" s="13" t="str">
        <f>IFERROR(__xludf.DUMMYFUNCTION("if(isblank(A203),,split(A203,""ー""))"),"11-126")</f>
        <v>11-126</v>
      </c>
      <c r="K203" s="13" t="str">
        <f>IFERROR(__xludf.DUMMYFUNCTION("if(isblank(B203),,split(B203,""ー""))"),"仕事関連")</f>
        <v>仕事関連</v>
      </c>
    </row>
    <row r="204">
      <c r="A204" s="15" t="s">
        <v>602</v>
      </c>
      <c r="B204" s="16" t="s">
        <v>603</v>
      </c>
      <c r="C204" s="9"/>
      <c r="D204" s="10" t="s">
        <v>165</v>
      </c>
      <c r="E204" s="10" t="s">
        <v>436</v>
      </c>
      <c r="F204" s="11" t="s">
        <v>600</v>
      </c>
      <c r="G204" s="12" t="s">
        <v>594</v>
      </c>
      <c r="I204" s="13" t="str">
        <f>IFERROR(__xludf.DUMMYFUNCTION("if(isblank(A204),,split(A204,""ー""))"),"11-129")</f>
        <v>11-129</v>
      </c>
      <c r="K204" s="13" t="str">
        <f>IFERROR(__xludf.DUMMYFUNCTION("if(isblank(B204),,split(B204,""ー""))"),"11-179")</f>
        <v>11-179</v>
      </c>
    </row>
    <row r="205">
      <c r="A205" s="15" t="s">
        <v>602</v>
      </c>
      <c r="B205" s="41" t="s">
        <v>604</v>
      </c>
      <c r="C205" s="61"/>
      <c r="D205" s="10" t="s">
        <v>604</v>
      </c>
      <c r="E205" s="10" t="s">
        <v>436</v>
      </c>
      <c r="F205" s="11" t="s">
        <v>36</v>
      </c>
      <c r="G205" s="12" t="s">
        <v>576</v>
      </c>
      <c r="I205" s="13" t="str">
        <f>IFERROR(__xludf.DUMMYFUNCTION("if(isblank(A205),,split(A205,""ー""))"),"11-129")</f>
        <v>11-129</v>
      </c>
      <c r="K205" s="13" t="str">
        <f>IFERROR(__xludf.DUMMYFUNCTION("if(isblank(B205),,split(B205,""ー""))"),"別居家族")</f>
        <v>別居家族</v>
      </c>
    </row>
    <row r="206">
      <c r="A206" s="15" t="s">
        <v>605</v>
      </c>
      <c r="B206" s="16" t="s">
        <v>606</v>
      </c>
      <c r="C206" s="9"/>
      <c r="D206" s="10" t="s">
        <v>36</v>
      </c>
      <c r="E206" s="10" t="s">
        <v>436</v>
      </c>
      <c r="F206" s="11" t="s">
        <v>36</v>
      </c>
      <c r="G206" s="12" t="s">
        <v>594</v>
      </c>
      <c r="I206" s="13" t="str">
        <f>IFERROR(__xludf.DUMMYFUNCTION("if(isblank(A206),,split(A206,""ー""))"),"11-130")</f>
        <v>11-130</v>
      </c>
      <c r="K206" s="13" t="str">
        <f>IFERROR(__xludf.DUMMYFUNCTION("if(isblank(B206),,split(B206,""ー""))"),"11-173")</f>
        <v>11-173</v>
      </c>
    </row>
    <row r="207">
      <c r="A207" s="69" t="s">
        <v>607</v>
      </c>
      <c r="B207" s="16" t="s">
        <v>578</v>
      </c>
      <c r="C207" s="61"/>
      <c r="D207" s="10" t="s">
        <v>608</v>
      </c>
      <c r="E207" s="10" t="s">
        <v>436</v>
      </c>
      <c r="F207" s="11" t="s">
        <v>609</v>
      </c>
      <c r="G207" s="12" t="s">
        <v>579</v>
      </c>
      <c r="I207" s="13" t="str">
        <f>IFERROR(__xludf.DUMMYFUNCTION("if(isblank(A207),,split(A207,""ー""))"),"11-140")</f>
        <v>11-140</v>
      </c>
      <c r="K207" s="13" t="str">
        <f>IFERROR(__xludf.DUMMYFUNCTION("if(isblank(B207),,split(B207,""ー""))"),"11-141")</f>
        <v>11-141</v>
      </c>
    </row>
    <row r="208">
      <c r="A208" s="15" t="s">
        <v>610</v>
      </c>
      <c r="B208" s="16" t="s">
        <v>611</v>
      </c>
      <c r="C208" s="61"/>
      <c r="D208" s="10" t="s">
        <v>165</v>
      </c>
      <c r="E208" s="10" t="s">
        <v>436</v>
      </c>
      <c r="F208" s="11" t="s">
        <v>612</v>
      </c>
      <c r="G208" s="12" t="s">
        <v>579</v>
      </c>
      <c r="I208" s="13" t="str">
        <f>IFERROR(__xludf.DUMMYFUNCTION("if(isblank(A208),,split(A208,""ー""))"),"11-142")</f>
        <v>11-142</v>
      </c>
      <c r="K208" s="13" t="str">
        <f>IFERROR(__xludf.DUMMYFUNCTION("if(isblank(B208),,split(B208,""ー""))"),"11-143")</f>
        <v>11-143</v>
      </c>
    </row>
    <row r="209">
      <c r="A209" s="15" t="s">
        <v>613</v>
      </c>
      <c r="B209" s="41" t="s">
        <v>596</v>
      </c>
      <c r="C209" s="61"/>
      <c r="D209" s="10" t="s">
        <v>596</v>
      </c>
      <c r="E209" s="10" t="s">
        <v>436</v>
      </c>
      <c r="F209" s="11" t="s">
        <v>36</v>
      </c>
      <c r="G209" s="12" t="s">
        <v>579</v>
      </c>
      <c r="I209" s="13" t="str">
        <f>IFERROR(__xludf.DUMMYFUNCTION("if(isblank(A209),,split(A209,""ー""))"),"11-145")</f>
        <v>11-145</v>
      </c>
      <c r="K209" s="13" t="str">
        <f>IFERROR(__xludf.DUMMYFUNCTION("if(isblank(B209),,split(B209,""ー""))"),"職場の同僚")</f>
        <v>職場の同僚</v>
      </c>
    </row>
    <row r="210">
      <c r="A210" s="69" t="s">
        <v>614</v>
      </c>
      <c r="B210" s="71" t="s">
        <v>615</v>
      </c>
      <c r="C210" s="77"/>
      <c r="D210" s="10" t="s">
        <v>165</v>
      </c>
      <c r="E210" s="10" t="s">
        <v>436</v>
      </c>
      <c r="F210" s="78" t="s">
        <v>616</v>
      </c>
      <c r="G210" s="12" t="s">
        <v>594</v>
      </c>
      <c r="I210" s="13" t="str">
        <f>IFERROR(__xludf.DUMMYFUNCTION("if(isblank(A210),,split(A210,""ー""))"),"11-151")</f>
        <v>11-151</v>
      </c>
      <c r="K210" s="13" t="str">
        <f>IFERROR(__xludf.DUMMYFUNCTION("if(isblank(B210),,split(B210,""ー""))"),"11-185")</f>
        <v>11-185</v>
      </c>
    </row>
    <row r="211">
      <c r="A211" s="69" t="s">
        <v>614</v>
      </c>
      <c r="B211" s="71" t="s">
        <v>617</v>
      </c>
      <c r="C211" s="77"/>
      <c r="D211" s="65" t="s">
        <v>36</v>
      </c>
      <c r="E211" s="10" t="s">
        <v>436</v>
      </c>
      <c r="F211" s="78" t="s">
        <v>36</v>
      </c>
      <c r="G211" s="12" t="s">
        <v>594</v>
      </c>
      <c r="I211" s="13" t="str">
        <f>IFERROR(__xludf.DUMMYFUNCTION("if(isblank(A211),,split(A211,""ー""))"),"11-151")</f>
        <v>11-151</v>
      </c>
      <c r="K211" s="13" t="str">
        <f>IFERROR(__xludf.DUMMYFUNCTION("if(isblank(B211),,split(B211,""ー""))"),"11-186")</f>
        <v>11-186</v>
      </c>
    </row>
    <row r="212">
      <c r="A212" s="15" t="s">
        <v>618</v>
      </c>
      <c r="B212" s="41" t="s">
        <v>619</v>
      </c>
      <c r="C212" s="9"/>
      <c r="D212" s="10" t="s">
        <v>569</v>
      </c>
      <c r="E212" s="10" t="s">
        <v>436</v>
      </c>
      <c r="F212" s="11" t="s">
        <v>36</v>
      </c>
      <c r="G212" s="12" t="s">
        <v>620</v>
      </c>
      <c r="I212" s="13" t="str">
        <f>IFERROR(__xludf.DUMMYFUNCTION("if(isblank(A212),,split(A212,""ー""))"),"11-163")</f>
        <v>11-163</v>
      </c>
      <c r="K212" s="13" t="str">
        <f>IFERROR(__xludf.DUMMYFUNCTION("if(isblank(B212),,split(B212,""ー""))"),"船橋市9例目の患者の濃厚接触者")</f>
        <v>船橋市9例目の患者の濃厚接触者</v>
      </c>
    </row>
    <row r="213">
      <c r="A213" s="15" t="s">
        <v>606</v>
      </c>
      <c r="B213" s="16" t="s">
        <v>621</v>
      </c>
      <c r="C213" s="9"/>
      <c r="D213" s="10" t="s">
        <v>165</v>
      </c>
      <c r="E213" s="10" t="s">
        <v>436</v>
      </c>
      <c r="F213" s="11" t="s">
        <v>622</v>
      </c>
      <c r="G213" s="12" t="s">
        <v>594</v>
      </c>
      <c r="I213" s="13" t="str">
        <f>IFERROR(__xludf.DUMMYFUNCTION("if(isblank(A213),,split(A213,""ー""))"),"11-173")</f>
        <v>11-173</v>
      </c>
      <c r="K213" s="13" t="str">
        <f>IFERROR(__xludf.DUMMYFUNCTION("if(isblank(B213),,split(B213,""ー""))"),"11-174")</f>
        <v>11-174</v>
      </c>
    </row>
    <row r="214">
      <c r="A214" s="15" t="s">
        <v>623</v>
      </c>
      <c r="B214" s="41" t="s">
        <v>604</v>
      </c>
      <c r="C214" s="9"/>
      <c r="D214" s="7" t="s">
        <v>604</v>
      </c>
      <c r="E214" s="10" t="s">
        <v>436</v>
      </c>
      <c r="F214" s="11" t="s">
        <v>36</v>
      </c>
      <c r="G214" s="12" t="s">
        <v>594</v>
      </c>
      <c r="I214" s="13" t="str">
        <f>IFERROR(__xludf.DUMMYFUNCTION("if(isblank(A214),,split(A214,""ー""))"),"11-175")</f>
        <v>11-175</v>
      </c>
      <c r="K214" s="13" t="str">
        <f>IFERROR(__xludf.DUMMYFUNCTION("if(isblank(B214),,split(B214,""ー""))"),"別居家族")</f>
        <v>別居家族</v>
      </c>
    </row>
    <row r="215">
      <c r="A215" s="15" t="s">
        <v>624</v>
      </c>
      <c r="B215" s="16" t="s">
        <v>625</v>
      </c>
      <c r="C215" s="9"/>
      <c r="D215" s="10" t="s">
        <v>165</v>
      </c>
      <c r="E215" s="10" t="s">
        <v>436</v>
      </c>
      <c r="F215" s="11" t="s">
        <v>626</v>
      </c>
      <c r="G215" s="12" t="s">
        <v>594</v>
      </c>
      <c r="I215" s="13" t="str">
        <f>IFERROR(__xludf.DUMMYFUNCTION("if(isblank(A215),,split(A215,""ー""))"),"11-177")</f>
        <v>11-177</v>
      </c>
      <c r="K215" s="13" t="str">
        <f>IFERROR(__xludf.DUMMYFUNCTION("if(isblank(B215),,split(B215,""ー""))"),"11-178")</f>
        <v>11-178</v>
      </c>
    </row>
    <row r="216">
      <c r="A216" s="15" t="s">
        <v>603</v>
      </c>
      <c r="B216" s="16" t="s">
        <v>627</v>
      </c>
      <c r="C216" s="9"/>
      <c r="D216" s="10" t="s">
        <v>165</v>
      </c>
      <c r="E216" s="10" t="s">
        <v>436</v>
      </c>
      <c r="F216" s="11" t="s">
        <v>600</v>
      </c>
      <c r="G216" s="12" t="s">
        <v>594</v>
      </c>
      <c r="I216" s="13" t="str">
        <f>IFERROR(__xludf.DUMMYFUNCTION("if(isblank(A216),,split(A216,""ー""))"),"11-179")</f>
        <v>11-179</v>
      </c>
      <c r="K216" s="13" t="str">
        <f>IFERROR(__xludf.DUMMYFUNCTION("if(isblank(B216),,split(B216,""ー""))"),"11-180")</f>
        <v>11-180</v>
      </c>
    </row>
    <row r="217">
      <c r="A217" s="15" t="s">
        <v>628</v>
      </c>
      <c r="B217" s="16" t="s">
        <v>629</v>
      </c>
      <c r="C217" s="9"/>
      <c r="D217" s="10" t="s">
        <v>165</v>
      </c>
      <c r="E217" s="10" t="s">
        <v>436</v>
      </c>
      <c r="F217" s="11" t="s">
        <v>36</v>
      </c>
      <c r="G217" s="12" t="s">
        <v>430</v>
      </c>
      <c r="I217" s="13" t="str">
        <f>IFERROR(__xludf.DUMMYFUNCTION("if(isblank(A217),,split(A217,""ー""))"),"11-38")</f>
        <v>11-38</v>
      </c>
      <c r="K217" s="13" t="str">
        <f>IFERROR(__xludf.DUMMYFUNCTION("if(isblank(B217),,split(B217,""ー""))"),"11-39")</f>
        <v>11-39</v>
      </c>
    </row>
    <row r="218">
      <c r="A218" s="15" t="s">
        <v>630</v>
      </c>
      <c r="B218" s="16" t="s">
        <v>631</v>
      </c>
      <c r="C218" s="9"/>
      <c r="D218" s="10" t="s">
        <v>165</v>
      </c>
      <c r="E218" s="10" t="s">
        <v>436</v>
      </c>
      <c r="F218" s="36" t="s">
        <v>593</v>
      </c>
      <c r="G218" s="12" t="s">
        <v>632</v>
      </c>
      <c r="I218" s="13" t="str">
        <f>IFERROR(__xludf.DUMMYFUNCTION("if(isblank(A218),,split(A218,""ー""))"),"11-42")</f>
        <v>11-42</v>
      </c>
      <c r="K218" s="13" t="str">
        <f>IFERROR(__xludf.DUMMYFUNCTION("if(isblank(B218),,split(B218,""ー""))"),"11-44")</f>
        <v>11-44</v>
      </c>
    </row>
    <row r="219">
      <c r="A219" s="15" t="s">
        <v>630</v>
      </c>
      <c r="B219" s="16" t="s">
        <v>633</v>
      </c>
      <c r="C219" s="9"/>
      <c r="D219" s="10" t="s">
        <v>30</v>
      </c>
      <c r="E219" s="10" t="s">
        <v>436</v>
      </c>
      <c r="F219" s="11" t="s">
        <v>634</v>
      </c>
      <c r="G219" s="12" t="s">
        <v>635</v>
      </c>
      <c r="I219" s="13" t="str">
        <f>IFERROR(__xludf.DUMMYFUNCTION("if(isblank(A219),,split(A219,""ー""))"),"11-42")</f>
        <v>11-42</v>
      </c>
      <c r="K219" s="13" t="str">
        <f>IFERROR(__xludf.DUMMYFUNCTION("if(isblank(B219),,split(B219,""ー""))"),"11-46")</f>
        <v>11-46</v>
      </c>
    </row>
    <row r="220">
      <c r="A220" s="15" t="s">
        <v>630</v>
      </c>
      <c r="B220" s="16" t="s">
        <v>636</v>
      </c>
      <c r="C220" s="9"/>
      <c r="D220" s="10" t="s">
        <v>30</v>
      </c>
      <c r="E220" s="10" t="s">
        <v>436</v>
      </c>
      <c r="F220" s="11" t="s">
        <v>634</v>
      </c>
      <c r="G220" s="12" t="s">
        <v>635</v>
      </c>
      <c r="I220" s="13" t="str">
        <f>IFERROR(__xludf.DUMMYFUNCTION("if(isblank(A220),,split(A220,""ー""))"),"11-42")</f>
        <v>11-42</v>
      </c>
      <c r="K220" s="13" t="str">
        <f>IFERROR(__xludf.DUMMYFUNCTION("if(isblank(B220),,split(B220,""ー""))"),"11-47")</f>
        <v>11-47</v>
      </c>
    </row>
    <row r="221">
      <c r="A221" s="15" t="s">
        <v>630</v>
      </c>
      <c r="B221" s="16" t="s">
        <v>637</v>
      </c>
      <c r="C221" s="9"/>
      <c r="D221" s="10" t="s">
        <v>30</v>
      </c>
      <c r="E221" s="10" t="s">
        <v>436</v>
      </c>
      <c r="F221" s="11" t="s">
        <v>634</v>
      </c>
      <c r="G221" s="12" t="s">
        <v>638</v>
      </c>
      <c r="I221" s="13" t="str">
        <f>IFERROR(__xludf.DUMMYFUNCTION("if(isblank(A221),,split(A221,""ー""))"),"11-42")</f>
        <v>11-42</v>
      </c>
      <c r="K221" s="13" t="str">
        <f>IFERROR(__xludf.DUMMYFUNCTION("if(isblank(B221),,split(B221,""ー""))"),"11-53")</f>
        <v>11-53</v>
      </c>
    </row>
    <row r="222">
      <c r="A222" s="15" t="s">
        <v>630</v>
      </c>
      <c r="B222" s="16" t="s">
        <v>639</v>
      </c>
      <c r="C222" s="9"/>
      <c r="D222" s="10" t="s">
        <v>30</v>
      </c>
      <c r="E222" s="10" t="s">
        <v>436</v>
      </c>
      <c r="F222" s="11" t="s">
        <v>634</v>
      </c>
      <c r="G222" s="12" t="s">
        <v>638</v>
      </c>
      <c r="I222" s="13" t="str">
        <f>IFERROR(__xludf.DUMMYFUNCTION("if(isblank(A222),,split(A222,""ー""))"),"11-42")</f>
        <v>11-42</v>
      </c>
      <c r="K222" s="13" t="str">
        <f>IFERROR(__xludf.DUMMYFUNCTION("if(isblank(B222),,split(B222,""ー""))"),"11-54")</f>
        <v>11-54</v>
      </c>
    </row>
    <row r="223">
      <c r="A223" s="15" t="s">
        <v>640</v>
      </c>
      <c r="B223" s="16" t="s">
        <v>641</v>
      </c>
      <c r="C223" s="9"/>
      <c r="D223" s="10" t="s">
        <v>308</v>
      </c>
      <c r="E223" s="10" t="s">
        <v>436</v>
      </c>
      <c r="F223" s="11" t="s">
        <v>642</v>
      </c>
      <c r="G223" s="12" t="s">
        <v>643</v>
      </c>
      <c r="I223" s="13" t="str">
        <f>IFERROR(__xludf.DUMMYFUNCTION("if(isblank(A223),,split(A223,""ー""))"),"11-43")</f>
        <v>11-43</v>
      </c>
      <c r="K223" s="13" t="str">
        <f>IFERROR(__xludf.DUMMYFUNCTION("if(isblank(B223),,split(B223,""ー""))"),"11-49")</f>
        <v>11-49</v>
      </c>
    </row>
    <row r="224">
      <c r="A224" s="15" t="s">
        <v>644</v>
      </c>
      <c r="B224" s="16" t="s">
        <v>645</v>
      </c>
      <c r="C224" s="9"/>
      <c r="D224" s="10" t="s">
        <v>308</v>
      </c>
      <c r="E224" s="10" t="s">
        <v>436</v>
      </c>
      <c r="F224" s="11" t="s">
        <v>642</v>
      </c>
      <c r="G224" s="12" t="s">
        <v>643</v>
      </c>
      <c r="I224" s="13" t="str">
        <f>IFERROR(__xludf.DUMMYFUNCTION("if(isblank(A224),,split(A224,""ー""))"),"11-48")</f>
        <v>11-48</v>
      </c>
      <c r="K224" s="13" t="str">
        <f>IFERROR(__xludf.DUMMYFUNCTION("if(isblank(B224),,split(B224,""ー""))"),"11-50")</f>
        <v>11-50</v>
      </c>
    </row>
    <row r="225">
      <c r="A225" s="15" t="s">
        <v>644</v>
      </c>
      <c r="B225" s="16" t="s">
        <v>646</v>
      </c>
      <c r="C225" s="9"/>
      <c r="D225" s="10" t="s">
        <v>308</v>
      </c>
      <c r="E225" s="10" t="s">
        <v>436</v>
      </c>
      <c r="F225" s="11" t="s">
        <v>642</v>
      </c>
      <c r="G225" s="12" t="s">
        <v>643</v>
      </c>
      <c r="I225" s="13" t="str">
        <f>IFERROR(__xludf.DUMMYFUNCTION("if(isblank(A225),,split(A225,""ー""))"),"11-48")</f>
        <v>11-48</v>
      </c>
      <c r="K225" s="13" t="str">
        <f>IFERROR(__xludf.DUMMYFUNCTION("if(isblank(B225),,split(B225,""ー""))"),"11-51")</f>
        <v>11-51</v>
      </c>
    </row>
    <row r="226">
      <c r="A226" s="15" t="s">
        <v>639</v>
      </c>
      <c r="B226" s="16" t="s">
        <v>647</v>
      </c>
      <c r="C226" s="9"/>
      <c r="D226" s="10" t="s">
        <v>308</v>
      </c>
      <c r="E226" s="10" t="s">
        <v>436</v>
      </c>
      <c r="F226" s="11" t="s">
        <v>593</v>
      </c>
      <c r="G226" s="12" t="s">
        <v>648</v>
      </c>
      <c r="I226" s="13" t="str">
        <f>IFERROR(__xludf.DUMMYFUNCTION("if(isblank(A226),,split(A226,""ー""))"),"11-54")</f>
        <v>11-54</v>
      </c>
      <c r="K226" s="13" t="str">
        <f>IFERROR(__xludf.DUMMYFUNCTION("if(isblank(B226),,split(B226,""ー""))"),"11-56")</f>
        <v>11-56</v>
      </c>
    </row>
    <row r="227">
      <c r="A227" s="15" t="s">
        <v>639</v>
      </c>
      <c r="B227" s="16" t="s">
        <v>649</v>
      </c>
      <c r="C227" s="9"/>
      <c r="D227" s="10" t="s">
        <v>308</v>
      </c>
      <c r="E227" s="10" t="s">
        <v>436</v>
      </c>
      <c r="F227" s="11" t="s">
        <v>593</v>
      </c>
      <c r="G227" s="12" t="s">
        <v>430</v>
      </c>
      <c r="I227" s="13" t="str">
        <f>IFERROR(__xludf.DUMMYFUNCTION("if(isblank(A227),,split(A227,""ー""))"),"11-54")</f>
        <v>11-54</v>
      </c>
      <c r="K227" s="13" t="str">
        <f>IFERROR(__xludf.DUMMYFUNCTION("if(isblank(B227),,split(B227,""ー""))"),"11-75")</f>
        <v>11-75</v>
      </c>
    </row>
    <row r="228">
      <c r="A228" s="15" t="s">
        <v>650</v>
      </c>
      <c r="B228" s="16" t="s">
        <v>651</v>
      </c>
      <c r="C228" s="9"/>
      <c r="D228" s="10" t="s">
        <v>308</v>
      </c>
      <c r="E228" s="10" t="s">
        <v>436</v>
      </c>
      <c r="F228" s="11" t="s">
        <v>612</v>
      </c>
      <c r="G228" s="12" t="s">
        <v>652</v>
      </c>
      <c r="I228" s="13" t="str">
        <f>IFERROR(__xludf.DUMMYFUNCTION("if(isblank(A228),,split(A228,""ー""))"),"11-55")</f>
        <v>11-55</v>
      </c>
      <c r="K228" s="13" t="str">
        <f>IFERROR(__xludf.DUMMYFUNCTION("if(isblank(B228),,split(B228,""ー""))"),"11-63")</f>
        <v>11-63</v>
      </c>
    </row>
    <row r="229">
      <c r="A229" s="15" t="s">
        <v>653</v>
      </c>
      <c r="B229" s="16" t="s">
        <v>654</v>
      </c>
      <c r="C229" s="9"/>
      <c r="D229" s="10" t="s">
        <v>165</v>
      </c>
      <c r="E229" s="10" t="s">
        <v>436</v>
      </c>
      <c r="F229" s="11" t="s">
        <v>36</v>
      </c>
      <c r="G229" s="12" t="s">
        <v>648</v>
      </c>
      <c r="I229" s="13" t="str">
        <f>IFERROR(__xludf.DUMMYFUNCTION("if(isblank(A229),,split(A229,""ー""))"),"11-57")</f>
        <v>11-57</v>
      </c>
      <c r="K229" s="13" t="str">
        <f>IFERROR(__xludf.DUMMYFUNCTION("if(isblank(B229),,split(B229,""ー""))"),"11-58")</f>
        <v>11-58</v>
      </c>
    </row>
    <row r="230">
      <c r="A230" s="15" t="s">
        <v>655</v>
      </c>
      <c r="B230" s="16" t="s">
        <v>656</v>
      </c>
      <c r="C230" s="9"/>
      <c r="D230" s="10" t="s">
        <v>308</v>
      </c>
      <c r="E230" s="10" t="s">
        <v>436</v>
      </c>
      <c r="F230" s="11" t="s">
        <v>657</v>
      </c>
      <c r="G230" s="12" t="s">
        <v>658</v>
      </c>
      <c r="I230" s="13" t="str">
        <f>IFERROR(__xludf.DUMMYFUNCTION("if(isblank(A230),,split(A230,""ー""))"),"11-59")</f>
        <v>11-59</v>
      </c>
      <c r="K230" s="13" t="str">
        <f>IFERROR(__xludf.DUMMYFUNCTION("if(isblank(B230),,split(B230,""ー""))"),"11-66")</f>
        <v>11-66</v>
      </c>
    </row>
    <row r="231">
      <c r="A231" s="15" t="s">
        <v>659</v>
      </c>
      <c r="B231" s="16" t="s">
        <v>660</v>
      </c>
      <c r="C231" s="9"/>
      <c r="D231" s="10" t="s">
        <v>308</v>
      </c>
      <c r="E231" s="10" t="s">
        <v>436</v>
      </c>
      <c r="F231" s="11" t="s">
        <v>642</v>
      </c>
      <c r="G231" s="12" t="s">
        <v>661</v>
      </c>
      <c r="I231" s="13" t="str">
        <f>IFERROR(__xludf.DUMMYFUNCTION("if(isblank(A231),,split(A231,""ー""))"),"11-62")</f>
        <v>11-62</v>
      </c>
      <c r="K231" s="13" t="str">
        <f>IFERROR(__xludf.DUMMYFUNCTION("if(isblank(B231),,split(B231,""ー""))"),"11-64")</f>
        <v>11-64</v>
      </c>
    </row>
    <row r="232">
      <c r="A232" s="15" t="s">
        <v>659</v>
      </c>
      <c r="B232" s="16" t="s">
        <v>662</v>
      </c>
      <c r="C232" s="9"/>
      <c r="D232" s="10" t="s">
        <v>308</v>
      </c>
      <c r="E232" s="10" t="s">
        <v>436</v>
      </c>
      <c r="F232" s="11" t="s">
        <v>642</v>
      </c>
      <c r="G232" s="12" t="s">
        <v>661</v>
      </c>
      <c r="I232" s="13" t="str">
        <f>IFERROR(__xludf.DUMMYFUNCTION("if(isblank(A232),,split(A232,""ー""))"),"11-62")</f>
        <v>11-62</v>
      </c>
      <c r="K232" s="13" t="str">
        <f>IFERROR(__xludf.DUMMYFUNCTION("if(isblank(B232),,split(B232,""ー""))"),"11-65")</f>
        <v>11-65</v>
      </c>
    </row>
    <row r="233">
      <c r="A233" s="15" t="s">
        <v>659</v>
      </c>
      <c r="B233" s="16" t="s">
        <v>663</v>
      </c>
      <c r="C233" s="9"/>
      <c r="D233" s="10" t="s">
        <v>308</v>
      </c>
      <c r="E233" s="10" t="s">
        <v>436</v>
      </c>
      <c r="F233" s="11" t="s">
        <v>642</v>
      </c>
      <c r="G233" s="12" t="s">
        <v>430</v>
      </c>
      <c r="I233" s="13" t="str">
        <f>IFERROR(__xludf.DUMMYFUNCTION("if(isblank(A233),,split(A233,""ー""))"),"11-62")</f>
        <v>11-62</v>
      </c>
      <c r="K233" s="13" t="str">
        <f>IFERROR(__xludf.DUMMYFUNCTION("if(isblank(B233),,split(B233,""ー""))"),"11-72")</f>
        <v>11-72</v>
      </c>
    </row>
    <row r="234">
      <c r="A234" s="15" t="s">
        <v>664</v>
      </c>
      <c r="B234" s="16" t="s">
        <v>665</v>
      </c>
      <c r="C234" s="9"/>
      <c r="D234" s="10" t="s">
        <v>308</v>
      </c>
      <c r="E234" s="10" t="s">
        <v>436</v>
      </c>
      <c r="F234" s="11" t="s">
        <v>666</v>
      </c>
      <c r="G234" s="12" t="s">
        <v>667</v>
      </c>
      <c r="I234" s="13" t="str">
        <f>IFERROR(__xludf.DUMMYFUNCTION("if(isblank(A234),,split(A234,""ー""))"),"11-69")</f>
        <v>11-69</v>
      </c>
      <c r="K234" s="13" t="str">
        <f>IFERROR(__xludf.DUMMYFUNCTION("if(isblank(B234),,split(B234,""ー""))"),"11-78")</f>
        <v>11-78</v>
      </c>
    </row>
    <row r="235">
      <c r="A235" s="15" t="s">
        <v>668</v>
      </c>
      <c r="B235" s="16" t="s">
        <v>669</v>
      </c>
      <c r="C235" s="9"/>
      <c r="D235" s="10" t="s">
        <v>308</v>
      </c>
      <c r="E235" s="10" t="s">
        <v>436</v>
      </c>
      <c r="F235" s="11" t="s">
        <v>670</v>
      </c>
      <c r="G235" s="12" t="s">
        <v>658</v>
      </c>
      <c r="I235" s="13" t="str">
        <f>IFERROR(__xludf.DUMMYFUNCTION("if(isblank(A235),,split(A235,""ー""))"),"11-70")</f>
        <v>11-70</v>
      </c>
      <c r="K235" s="13" t="str">
        <f>IFERROR(__xludf.DUMMYFUNCTION("if(isblank(B235),,split(B235,""ー""))"),"11-79")</f>
        <v>11-79</v>
      </c>
    </row>
    <row r="236">
      <c r="A236" s="15" t="s">
        <v>668</v>
      </c>
      <c r="B236" s="16" t="s">
        <v>671</v>
      </c>
      <c r="C236" s="9"/>
      <c r="D236" s="10" t="s">
        <v>541</v>
      </c>
      <c r="E236" s="10" t="s">
        <v>436</v>
      </c>
      <c r="F236" s="11" t="s">
        <v>670</v>
      </c>
      <c r="G236" s="12" t="s">
        <v>658</v>
      </c>
      <c r="I236" s="13" t="str">
        <f>IFERROR(__xludf.DUMMYFUNCTION("if(isblank(A236),,split(A236,""ー""))"),"11-70")</f>
        <v>11-70</v>
      </c>
      <c r="K236" s="13" t="str">
        <f>IFERROR(__xludf.DUMMYFUNCTION("if(isblank(B236),,split(B236,""ー""))"),"11-80")</f>
        <v>11-80</v>
      </c>
    </row>
    <row r="237">
      <c r="A237" s="15" t="s">
        <v>672</v>
      </c>
      <c r="B237" s="16" t="s">
        <v>673</v>
      </c>
      <c r="C237" s="9"/>
      <c r="D237" s="10" t="s">
        <v>165</v>
      </c>
      <c r="E237" s="10" t="s">
        <v>436</v>
      </c>
      <c r="F237" s="6" t="s">
        <v>642</v>
      </c>
      <c r="G237" s="12" t="s">
        <v>674</v>
      </c>
      <c r="I237" s="13" t="str">
        <f>IFERROR(__xludf.DUMMYFUNCTION("if(isblank(A237),,split(A237,""ー""))"),"11-77")</f>
        <v>11-77</v>
      </c>
      <c r="K237" s="13" t="str">
        <f>IFERROR(__xludf.DUMMYFUNCTION("if(isblank(B237),,split(B237,""ー""))"),"11-104")</f>
        <v>11-104</v>
      </c>
    </row>
    <row r="238">
      <c r="A238" s="15" t="s">
        <v>672</v>
      </c>
      <c r="B238" s="16" t="s">
        <v>580</v>
      </c>
      <c r="C238" s="61"/>
      <c r="D238" s="10" t="s">
        <v>36</v>
      </c>
      <c r="E238" s="10" t="s">
        <v>436</v>
      </c>
      <c r="F238" s="11" t="s">
        <v>675</v>
      </c>
      <c r="G238" s="12" t="s">
        <v>582</v>
      </c>
      <c r="I238" s="13" t="str">
        <f>IFERROR(__xludf.DUMMYFUNCTION("if(isblank(A238),,split(A238,""ー""))"),"11-77")</f>
        <v>11-77</v>
      </c>
      <c r="K238" s="13" t="str">
        <f>IFERROR(__xludf.DUMMYFUNCTION("if(isblank(B238),,split(B238,""ー""))"),"11-115")</f>
        <v>11-115</v>
      </c>
    </row>
    <row r="239">
      <c r="A239" s="15" t="s">
        <v>672</v>
      </c>
      <c r="B239" s="16" t="s">
        <v>676</v>
      </c>
      <c r="C239" s="9"/>
      <c r="D239" s="10" t="s">
        <v>446</v>
      </c>
      <c r="E239" s="10" t="s">
        <v>436</v>
      </c>
      <c r="F239" s="11" t="s">
        <v>642</v>
      </c>
      <c r="G239" s="49" t="s">
        <v>677</v>
      </c>
      <c r="I239" s="13" t="str">
        <f>IFERROR(__xludf.DUMMYFUNCTION("if(isblank(A239),,split(A239,""ー""))"),"11-77")</f>
        <v>11-77</v>
      </c>
      <c r="K239" s="13" t="str">
        <f>IFERROR(__xludf.DUMMYFUNCTION("if(isblank(B239),,split(B239,""ー""))"),"11-83")</f>
        <v>11-83</v>
      </c>
    </row>
    <row r="240">
      <c r="A240" s="15" t="s">
        <v>678</v>
      </c>
      <c r="B240" s="16" t="s">
        <v>679</v>
      </c>
      <c r="C240" s="61"/>
      <c r="D240" s="10" t="s">
        <v>165</v>
      </c>
      <c r="E240" s="10" t="s">
        <v>436</v>
      </c>
      <c r="F240" s="11" t="s">
        <v>680</v>
      </c>
      <c r="G240" s="12" t="s">
        <v>576</v>
      </c>
      <c r="I240" s="13" t="str">
        <f>IFERROR(__xludf.DUMMYFUNCTION("if(isblank(A240),,split(A240,""ー""))"),"11-84")</f>
        <v>11-84</v>
      </c>
      <c r="K240" s="13" t="str">
        <f>IFERROR(__xludf.DUMMYFUNCTION("if(isblank(B240),,split(B240,""ー""))"),"11-133")</f>
        <v>11-133</v>
      </c>
    </row>
    <row r="241">
      <c r="A241" s="15" t="s">
        <v>678</v>
      </c>
      <c r="B241" s="16" t="s">
        <v>681</v>
      </c>
      <c r="C241" s="9"/>
      <c r="D241" s="10" t="s">
        <v>165</v>
      </c>
      <c r="E241" s="10" t="s">
        <v>436</v>
      </c>
      <c r="F241" s="11" t="s">
        <v>680</v>
      </c>
      <c r="G241" s="12" t="s">
        <v>594</v>
      </c>
      <c r="I241" s="13" t="str">
        <f>IFERROR(__xludf.DUMMYFUNCTION("if(isblank(A241),,split(A241,""ー""))"),"11-84")</f>
        <v>11-84</v>
      </c>
      <c r="K241" s="13" t="str">
        <f>IFERROR(__xludf.DUMMYFUNCTION("if(isblank(B241),,split(B241,""ー""))"),"11-176")</f>
        <v>11-176</v>
      </c>
    </row>
    <row r="242">
      <c r="A242" s="15" t="s">
        <v>682</v>
      </c>
      <c r="B242" s="16" t="s">
        <v>683</v>
      </c>
      <c r="C242" s="9"/>
      <c r="D242" s="10" t="s">
        <v>165</v>
      </c>
      <c r="E242" s="10" t="s">
        <v>436</v>
      </c>
      <c r="F242" s="11" t="s">
        <v>642</v>
      </c>
      <c r="G242" s="12" t="s">
        <v>430</v>
      </c>
      <c r="I242" s="13" t="str">
        <f>IFERROR(__xludf.DUMMYFUNCTION("if(isblank(A242),,split(A242,""ー""))"),"11-86")</f>
        <v>11-86</v>
      </c>
      <c r="K242" s="13" t="str">
        <f>IFERROR(__xludf.DUMMYFUNCTION("if(isblank(B242),,split(B242,""ー""))"),"11-88")</f>
        <v>11-88</v>
      </c>
    </row>
    <row r="243">
      <c r="A243" s="15" t="s">
        <v>682</v>
      </c>
      <c r="B243" s="16" t="s">
        <v>684</v>
      </c>
      <c r="C243" s="9"/>
      <c r="D243" s="10" t="s">
        <v>165</v>
      </c>
      <c r="E243" s="10" t="s">
        <v>436</v>
      </c>
      <c r="F243" s="11" t="s">
        <v>642</v>
      </c>
      <c r="G243" s="12" t="s">
        <v>430</v>
      </c>
      <c r="I243" s="13" t="str">
        <f>IFERROR(__xludf.DUMMYFUNCTION("if(isblank(A243),,split(A243,""ー""))"),"11-86")</f>
        <v>11-86</v>
      </c>
      <c r="K243" s="13" t="str">
        <f>IFERROR(__xludf.DUMMYFUNCTION("if(isblank(B243),,split(B243,""ー""))"),"11-89")</f>
        <v>11-89</v>
      </c>
    </row>
    <row r="244">
      <c r="A244" s="15" t="s">
        <v>683</v>
      </c>
      <c r="B244" s="16" t="s">
        <v>685</v>
      </c>
      <c r="C244" s="61"/>
      <c r="D244" s="10" t="s">
        <v>165</v>
      </c>
      <c r="E244" s="10" t="s">
        <v>436</v>
      </c>
      <c r="F244" s="11" t="s">
        <v>642</v>
      </c>
      <c r="G244" s="12" t="s">
        <v>686</v>
      </c>
      <c r="I244" s="13" t="str">
        <f>IFERROR(__xludf.DUMMYFUNCTION("if(isblank(A244),,split(A244,""ー""))"),"11-88")</f>
        <v>11-88</v>
      </c>
      <c r="K244" s="13" t="str">
        <f>IFERROR(__xludf.DUMMYFUNCTION("if(isblank(B244),,split(B244,""ー""))"),"11-120")</f>
        <v>11-120</v>
      </c>
    </row>
    <row r="245">
      <c r="A245" s="15" t="s">
        <v>687</v>
      </c>
      <c r="B245" s="16" t="s">
        <v>688</v>
      </c>
      <c r="C245" s="9"/>
      <c r="D245" s="10" t="s">
        <v>165</v>
      </c>
      <c r="E245" s="10" t="s">
        <v>436</v>
      </c>
      <c r="F245" s="11" t="s">
        <v>612</v>
      </c>
      <c r="G245" s="12" t="s">
        <v>689</v>
      </c>
      <c r="I245" s="13" t="str">
        <f>IFERROR(__xludf.DUMMYFUNCTION("if(isblank(A245),,split(A245,""ー""))"),"11-99")</f>
        <v>11-99</v>
      </c>
      <c r="K245" s="13" t="str">
        <f>IFERROR(__xludf.DUMMYFUNCTION("if(isblank(B245),,split(B245,""ー""))"),"11-100")</f>
        <v>11-100</v>
      </c>
    </row>
    <row r="246">
      <c r="A246" s="69" t="s">
        <v>687</v>
      </c>
      <c r="B246" s="75" t="s">
        <v>610</v>
      </c>
      <c r="C246" s="13"/>
      <c r="D246" s="10" t="s">
        <v>165</v>
      </c>
      <c r="E246" s="10" t="s">
        <v>436</v>
      </c>
      <c r="F246" s="11" t="s">
        <v>612</v>
      </c>
      <c r="G246" s="49" t="s">
        <v>579</v>
      </c>
      <c r="I246" s="13" t="str">
        <f>IFERROR(__xludf.DUMMYFUNCTION("if(isblank(A246),,split(A246,""ー""))"),"11-99")</f>
        <v>11-99</v>
      </c>
      <c r="K246" s="13" t="str">
        <f>IFERROR(__xludf.DUMMYFUNCTION("if(isblank(B246),,split(B246,""ー""))"),"11-142")</f>
        <v>11-142</v>
      </c>
    </row>
    <row r="247">
      <c r="A247" s="69" t="s">
        <v>687</v>
      </c>
      <c r="B247" s="16" t="s">
        <v>611</v>
      </c>
      <c r="C247" s="61"/>
      <c r="D247" s="10" t="s">
        <v>165</v>
      </c>
      <c r="E247" s="10" t="s">
        <v>436</v>
      </c>
      <c r="F247" s="11" t="s">
        <v>612</v>
      </c>
      <c r="G247" s="12" t="s">
        <v>579</v>
      </c>
      <c r="I247" s="13" t="str">
        <f>IFERROR(__xludf.DUMMYFUNCTION("if(isblank(A247),,split(A247,""ー""))"),"11-99")</f>
        <v>11-99</v>
      </c>
      <c r="K247" s="13" t="str">
        <f>IFERROR(__xludf.DUMMYFUNCTION("if(isblank(B247),,split(B247,""ー""))"),"11-143")</f>
        <v>11-143</v>
      </c>
    </row>
    <row r="248">
      <c r="A248" s="15" t="s">
        <v>690</v>
      </c>
      <c r="B248" s="41" t="s">
        <v>691</v>
      </c>
      <c r="C248" s="9"/>
      <c r="D248" s="10" t="s">
        <v>36</v>
      </c>
      <c r="E248" s="10" t="s">
        <v>447</v>
      </c>
      <c r="F248" s="11" t="s">
        <v>36</v>
      </c>
      <c r="G248" s="12" t="s">
        <v>692</v>
      </c>
      <c r="I248" s="13" t="str">
        <f>IFERROR(__xludf.DUMMYFUNCTION("if(isblank(A248),,split(A248,""ー""))"),"12-102")</f>
        <v>12-102</v>
      </c>
      <c r="K248" s="13" t="str">
        <f>IFERROR(__xludf.DUMMYFUNCTION("if(isblank(B248),,split(B248,""ー""))"),"東京都で確認された患者の濃厚接触者（3月20日）")</f>
        <v>東京都で確認された患者の濃厚接触者（3月20日）</v>
      </c>
    </row>
    <row r="249">
      <c r="A249" s="15" t="s">
        <v>693</v>
      </c>
      <c r="B249" s="41" t="s">
        <v>694</v>
      </c>
      <c r="C249" s="9">
        <v>43910.0</v>
      </c>
      <c r="D249" s="6" t="s">
        <v>36</v>
      </c>
      <c r="E249" s="10" t="s">
        <v>447</v>
      </c>
      <c r="F249" s="6" t="s">
        <v>36</v>
      </c>
      <c r="G249" s="12" t="s">
        <v>692</v>
      </c>
      <c r="I249" s="13" t="str">
        <f>IFERROR(__xludf.DUMMYFUNCTION("if(isblank(A249),,split(A249,""ー""))"),"12-104")</f>
        <v>12-104</v>
      </c>
      <c r="K249" s="13" t="str">
        <f>IFERROR(__xludf.DUMMYFUNCTION("if(isblank(B249),,split(B249,""ー""))"),"神奈川県相模原市で確認された患者と3月20日に接触。")</f>
        <v>神奈川県相模原市で確認された患者と3月20日に接触。</v>
      </c>
    </row>
    <row r="250">
      <c r="A250" s="15" t="s">
        <v>695</v>
      </c>
      <c r="B250" s="16" t="s">
        <v>696</v>
      </c>
      <c r="C250" s="9">
        <v>43905.0</v>
      </c>
      <c r="D250" s="10" t="s">
        <v>697</v>
      </c>
      <c r="E250" s="10" t="s">
        <v>447</v>
      </c>
      <c r="F250" s="11" t="s">
        <v>36</v>
      </c>
      <c r="G250" s="12" t="s">
        <v>698</v>
      </c>
      <c r="I250" s="13" t="str">
        <f>IFERROR(__xludf.DUMMYFUNCTION("if(isblank(A250),,split(A250,""ー""))"),"12-33")</f>
        <v>12-33</v>
      </c>
      <c r="K250" s="13" t="str">
        <f>IFERROR(__xludf.DUMMYFUNCTION("if(isblank(B250),,split(B250,""ー""))"),"12-46")</f>
        <v>12-46</v>
      </c>
    </row>
    <row r="251">
      <c r="A251" s="15" t="s">
        <v>699</v>
      </c>
      <c r="B251" s="16" t="s">
        <v>696</v>
      </c>
      <c r="C251" s="9">
        <v>43905.0</v>
      </c>
      <c r="D251" s="10" t="s">
        <v>697</v>
      </c>
      <c r="E251" s="10" t="s">
        <v>447</v>
      </c>
      <c r="F251" s="11" t="s">
        <v>36</v>
      </c>
      <c r="G251" s="12" t="s">
        <v>698</v>
      </c>
      <c r="I251" s="13" t="str">
        <f>IFERROR(__xludf.DUMMYFUNCTION("if(isblank(A251),,split(A251,""ー""))"),"12-40")</f>
        <v>12-40</v>
      </c>
      <c r="K251" s="13" t="str">
        <f>IFERROR(__xludf.DUMMYFUNCTION("if(isblank(B251),,split(B251,""ー""))"),"12-46")</f>
        <v>12-46</v>
      </c>
    </row>
    <row r="252">
      <c r="A252" s="15" t="s">
        <v>699</v>
      </c>
      <c r="B252" s="16" t="s">
        <v>700</v>
      </c>
      <c r="C252" s="9"/>
      <c r="D252" s="10" t="s">
        <v>36</v>
      </c>
      <c r="E252" s="10" t="s">
        <v>447</v>
      </c>
      <c r="F252" s="11" t="s">
        <v>36</v>
      </c>
      <c r="G252" s="12" t="s">
        <v>701</v>
      </c>
      <c r="I252" s="13" t="str">
        <f>IFERROR(__xludf.DUMMYFUNCTION("if(isblank(A252),,split(A252,""ー""))"),"12-40")</f>
        <v>12-40</v>
      </c>
      <c r="K252" s="13" t="str">
        <f>IFERROR(__xludf.DUMMYFUNCTION("if(isblank(B252),,split(B252,""ー""))"),"12-64")</f>
        <v>12-64</v>
      </c>
    </row>
    <row r="253">
      <c r="A253" s="15" t="s">
        <v>702</v>
      </c>
      <c r="B253" s="16" t="s">
        <v>696</v>
      </c>
      <c r="C253" s="9">
        <v>43905.0</v>
      </c>
      <c r="D253" s="10" t="s">
        <v>697</v>
      </c>
      <c r="E253" s="10" t="s">
        <v>447</v>
      </c>
      <c r="F253" s="11" t="s">
        <v>36</v>
      </c>
      <c r="G253" s="12" t="s">
        <v>698</v>
      </c>
      <c r="I253" s="13" t="str">
        <f>IFERROR(__xludf.DUMMYFUNCTION("if(isblank(A253),,split(A253,""ー""))"),"12-41")</f>
        <v>12-41</v>
      </c>
      <c r="K253" s="13" t="str">
        <f>IFERROR(__xludf.DUMMYFUNCTION("if(isblank(B253),,split(B253,""ー""))"),"12-46")</f>
        <v>12-46</v>
      </c>
    </row>
    <row r="254">
      <c r="A254" s="15" t="s">
        <v>703</v>
      </c>
      <c r="B254" s="16" t="s">
        <v>700</v>
      </c>
      <c r="C254" s="9"/>
      <c r="D254" s="10" t="s">
        <v>36</v>
      </c>
      <c r="E254" s="10" t="s">
        <v>447</v>
      </c>
      <c r="F254" s="11" t="s">
        <v>36</v>
      </c>
      <c r="G254" s="12" t="s">
        <v>701</v>
      </c>
      <c r="I254" s="13" t="str">
        <f>IFERROR(__xludf.DUMMYFUNCTION("if(isblank(A254),,split(A254,""ー""))"),"12-42")</f>
        <v>12-42</v>
      </c>
      <c r="K254" s="13" t="str">
        <f>IFERROR(__xludf.DUMMYFUNCTION("if(isblank(B254),,split(B254,""ー""))"),"12-64")</f>
        <v>12-64</v>
      </c>
    </row>
    <row r="255">
      <c r="A255" s="15" t="s">
        <v>696</v>
      </c>
      <c r="B255" s="16" t="s">
        <v>704</v>
      </c>
      <c r="C255" s="9">
        <v>43905.0</v>
      </c>
      <c r="D255" s="10" t="s">
        <v>697</v>
      </c>
      <c r="E255" s="10" t="s">
        <v>447</v>
      </c>
      <c r="F255" s="11" t="s">
        <v>36</v>
      </c>
      <c r="G255" s="12" t="s">
        <v>698</v>
      </c>
      <c r="I255" s="13" t="str">
        <f>IFERROR(__xludf.DUMMYFUNCTION("if(isblank(A255),,split(A255,""ー""))"),"12-46")</f>
        <v>12-46</v>
      </c>
      <c r="K255" s="13" t="str">
        <f>IFERROR(__xludf.DUMMYFUNCTION("if(isblank(B255),,split(B255,""ー""))"),"12-47")</f>
        <v>12-47</v>
      </c>
    </row>
    <row r="256">
      <c r="A256" s="15" t="s">
        <v>696</v>
      </c>
      <c r="B256" s="16" t="s">
        <v>705</v>
      </c>
      <c r="C256" s="9">
        <v>43905.0</v>
      </c>
      <c r="D256" s="10" t="s">
        <v>697</v>
      </c>
      <c r="E256" s="10" t="s">
        <v>447</v>
      </c>
      <c r="F256" s="11" t="s">
        <v>36</v>
      </c>
      <c r="G256" s="12" t="s">
        <v>698</v>
      </c>
      <c r="I256" s="13" t="str">
        <f>IFERROR(__xludf.DUMMYFUNCTION("if(isblank(A256),,split(A256,""ー""))"),"12-46")</f>
        <v>12-46</v>
      </c>
      <c r="K256" s="13" t="str">
        <f>IFERROR(__xludf.DUMMYFUNCTION("if(isblank(B256),,split(B256,""ー""))"),"12-48")</f>
        <v>12-48</v>
      </c>
    </row>
    <row r="257">
      <c r="A257" s="15" t="s">
        <v>696</v>
      </c>
      <c r="B257" s="16" t="s">
        <v>700</v>
      </c>
      <c r="C257" s="9"/>
      <c r="D257" s="10" t="s">
        <v>36</v>
      </c>
      <c r="E257" s="10" t="s">
        <v>447</v>
      </c>
      <c r="F257" s="11" t="s">
        <v>36</v>
      </c>
      <c r="G257" s="12" t="s">
        <v>701</v>
      </c>
      <c r="I257" s="13" t="str">
        <f>IFERROR(__xludf.DUMMYFUNCTION("if(isblank(A257),,split(A257,""ー""))"),"12-46")</f>
        <v>12-46</v>
      </c>
      <c r="K257" s="13" t="str">
        <f>IFERROR(__xludf.DUMMYFUNCTION("if(isblank(B257),,split(B257,""ー""))"),"12-64")</f>
        <v>12-64</v>
      </c>
    </row>
    <row r="258">
      <c r="A258" s="15" t="s">
        <v>706</v>
      </c>
      <c r="B258" s="16" t="s">
        <v>707</v>
      </c>
      <c r="C258" s="9"/>
      <c r="D258" s="10" t="s">
        <v>36</v>
      </c>
      <c r="E258" s="10" t="s">
        <v>447</v>
      </c>
      <c r="F258" s="11" t="s">
        <v>708</v>
      </c>
      <c r="G258" s="12" t="s">
        <v>701</v>
      </c>
      <c r="I258" s="13" t="str">
        <f>IFERROR(__xludf.DUMMYFUNCTION("if(isblank(A258),,split(A258,""ー""))"),"12-62")</f>
        <v>12-62</v>
      </c>
      <c r="K258" s="13" t="str">
        <f>IFERROR(__xludf.DUMMYFUNCTION("if(isblank(B258),,split(B258,""ー""))"),"12-63")</f>
        <v>12-63</v>
      </c>
    </row>
    <row r="259">
      <c r="A259" s="15" t="s">
        <v>709</v>
      </c>
      <c r="B259" s="16" t="s">
        <v>710</v>
      </c>
      <c r="C259" s="9"/>
      <c r="D259" s="10" t="s">
        <v>711</v>
      </c>
      <c r="E259" s="10" t="s">
        <v>447</v>
      </c>
      <c r="F259" s="11" t="s">
        <v>712</v>
      </c>
      <c r="G259" s="12" t="s">
        <v>713</v>
      </c>
      <c r="I259" s="13" t="str">
        <f>IFERROR(__xludf.DUMMYFUNCTION("if(isblank(A259),,split(A259,""ー""))"),"12-66")</f>
        <v>12-66</v>
      </c>
      <c r="K259" s="13" t="str">
        <f>IFERROR(__xludf.DUMMYFUNCTION("if(isblank(B259),,split(B259,""ー""))"),"12-100")</f>
        <v>12-100</v>
      </c>
    </row>
    <row r="260">
      <c r="A260" s="15" t="s">
        <v>709</v>
      </c>
      <c r="B260" s="16" t="s">
        <v>714</v>
      </c>
      <c r="C260" s="9"/>
      <c r="D260" s="10" t="s">
        <v>711</v>
      </c>
      <c r="E260" s="10" t="s">
        <v>447</v>
      </c>
      <c r="F260" s="11" t="s">
        <v>712</v>
      </c>
      <c r="G260" s="12" t="s">
        <v>713</v>
      </c>
      <c r="I260" s="13" t="str">
        <f>IFERROR(__xludf.DUMMYFUNCTION("if(isblank(A260),,split(A260,""ー""))"),"12-66")</f>
        <v>12-66</v>
      </c>
      <c r="K260" s="13" t="str">
        <f>IFERROR(__xludf.DUMMYFUNCTION("if(isblank(B260),,split(B260,""ー""))"),"12-101")</f>
        <v>12-101</v>
      </c>
    </row>
    <row r="261">
      <c r="A261" s="15" t="s">
        <v>709</v>
      </c>
      <c r="B261" s="16" t="s">
        <v>715</v>
      </c>
      <c r="C261" s="9"/>
      <c r="D261" s="10" t="s">
        <v>711</v>
      </c>
      <c r="E261" s="10" t="s">
        <v>447</v>
      </c>
      <c r="F261" s="11" t="s">
        <v>712</v>
      </c>
      <c r="G261" s="12" t="s">
        <v>713</v>
      </c>
      <c r="I261" s="13" t="str">
        <f>IFERROR(__xludf.DUMMYFUNCTION("if(isblank(A261),,split(A261,""ー""))"),"12-66")</f>
        <v>12-66</v>
      </c>
      <c r="K261" s="13" t="str">
        <f>IFERROR(__xludf.DUMMYFUNCTION("if(isblank(B261),,split(B261,""ー""))"),"12-71")</f>
        <v>12-71</v>
      </c>
    </row>
    <row r="262">
      <c r="A262" s="15" t="s">
        <v>709</v>
      </c>
      <c r="B262" s="16" t="s">
        <v>716</v>
      </c>
      <c r="C262" s="9"/>
      <c r="D262" s="10" t="s">
        <v>711</v>
      </c>
      <c r="E262" s="10" t="s">
        <v>447</v>
      </c>
      <c r="F262" s="11" t="s">
        <v>712</v>
      </c>
      <c r="G262" s="12" t="s">
        <v>713</v>
      </c>
      <c r="I262" s="13" t="str">
        <f>IFERROR(__xludf.DUMMYFUNCTION("if(isblank(A262),,split(A262,""ー""))"),"12-66")</f>
        <v>12-66</v>
      </c>
      <c r="K262" s="13" t="str">
        <f>IFERROR(__xludf.DUMMYFUNCTION("if(isblank(B262),,split(B262,""ー""))"),"12-72")</f>
        <v>12-72</v>
      </c>
    </row>
    <row r="263">
      <c r="A263" s="15" t="s">
        <v>709</v>
      </c>
      <c r="B263" s="16" t="s">
        <v>717</v>
      </c>
      <c r="C263" s="9"/>
      <c r="D263" s="10" t="s">
        <v>711</v>
      </c>
      <c r="E263" s="10" t="s">
        <v>447</v>
      </c>
      <c r="F263" s="11" t="s">
        <v>712</v>
      </c>
      <c r="G263" s="12" t="s">
        <v>713</v>
      </c>
      <c r="I263" s="13" t="str">
        <f>IFERROR(__xludf.DUMMYFUNCTION("if(isblank(A263),,split(A263,""ー""))"),"12-66")</f>
        <v>12-66</v>
      </c>
      <c r="K263" s="13" t="str">
        <f>IFERROR(__xludf.DUMMYFUNCTION("if(isblank(B263),,split(B263,""ー""))"),"12-73")</f>
        <v>12-73</v>
      </c>
    </row>
    <row r="264">
      <c r="A264" s="15" t="s">
        <v>709</v>
      </c>
      <c r="B264" s="16" t="s">
        <v>718</v>
      </c>
      <c r="C264" s="9"/>
      <c r="D264" s="10" t="s">
        <v>711</v>
      </c>
      <c r="E264" s="10" t="s">
        <v>447</v>
      </c>
      <c r="F264" s="11" t="s">
        <v>712</v>
      </c>
      <c r="G264" s="12" t="s">
        <v>713</v>
      </c>
      <c r="I264" s="13" t="str">
        <f>IFERROR(__xludf.DUMMYFUNCTION("if(isblank(A264),,split(A264,""ー""))"),"12-66")</f>
        <v>12-66</v>
      </c>
      <c r="K264" s="13" t="str">
        <f>IFERROR(__xludf.DUMMYFUNCTION("if(isblank(B264),,split(B264,""ー""))"),"12-74")</f>
        <v>12-74</v>
      </c>
    </row>
    <row r="265">
      <c r="A265" s="15" t="s">
        <v>709</v>
      </c>
      <c r="B265" s="16" t="s">
        <v>719</v>
      </c>
      <c r="C265" s="9"/>
      <c r="D265" s="10" t="s">
        <v>711</v>
      </c>
      <c r="E265" s="10" t="s">
        <v>447</v>
      </c>
      <c r="F265" s="11" t="s">
        <v>712</v>
      </c>
      <c r="G265" s="12" t="s">
        <v>713</v>
      </c>
      <c r="I265" s="13" t="str">
        <f>IFERROR(__xludf.DUMMYFUNCTION("if(isblank(A265),,split(A265,""ー""))"),"12-66")</f>
        <v>12-66</v>
      </c>
      <c r="K265" s="13" t="str">
        <f>IFERROR(__xludf.DUMMYFUNCTION("if(isblank(B265),,split(B265,""ー""))"),"12-75")</f>
        <v>12-75</v>
      </c>
    </row>
    <row r="266">
      <c r="A266" s="15" t="s">
        <v>709</v>
      </c>
      <c r="B266" s="16" t="s">
        <v>720</v>
      </c>
      <c r="C266" s="9"/>
      <c r="D266" s="10" t="s">
        <v>711</v>
      </c>
      <c r="E266" s="10" t="s">
        <v>447</v>
      </c>
      <c r="F266" s="11" t="s">
        <v>712</v>
      </c>
      <c r="G266" s="12" t="s">
        <v>713</v>
      </c>
      <c r="I266" s="13" t="str">
        <f>IFERROR(__xludf.DUMMYFUNCTION("if(isblank(A266),,split(A266,""ー""))"),"12-66")</f>
        <v>12-66</v>
      </c>
      <c r="K266" s="13" t="str">
        <f>IFERROR(__xludf.DUMMYFUNCTION("if(isblank(B266),,split(B266,""ー""))"),"12-76")</f>
        <v>12-76</v>
      </c>
    </row>
    <row r="267">
      <c r="A267" s="15" t="s">
        <v>709</v>
      </c>
      <c r="B267" s="16" t="s">
        <v>721</v>
      </c>
      <c r="C267" s="9"/>
      <c r="D267" s="10" t="s">
        <v>711</v>
      </c>
      <c r="E267" s="10" t="s">
        <v>447</v>
      </c>
      <c r="F267" s="11" t="s">
        <v>712</v>
      </c>
      <c r="G267" s="12" t="s">
        <v>713</v>
      </c>
      <c r="I267" s="13" t="str">
        <f>IFERROR(__xludf.DUMMYFUNCTION("if(isblank(A267),,split(A267,""ー""))"),"12-66")</f>
        <v>12-66</v>
      </c>
      <c r="K267" s="13" t="str">
        <f>IFERROR(__xludf.DUMMYFUNCTION("if(isblank(B267),,split(B267,""ー""))"),"12-77")</f>
        <v>12-77</v>
      </c>
    </row>
    <row r="268">
      <c r="A268" s="15" t="s">
        <v>709</v>
      </c>
      <c r="B268" s="16" t="s">
        <v>722</v>
      </c>
      <c r="C268" s="9"/>
      <c r="D268" s="10" t="s">
        <v>711</v>
      </c>
      <c r="E268" s="10" t="s">
        <v>447</v>
      </c>
      <c r="F268" s="11" t="s">
        <v>712</v>
      </c>
      <c r="G268" s="12" t="s">
        <v>713</v>
      </c>
      <c r="I268" s="13" t="str">
        <f>IFERROR(__xludf.DUMMYFUNCTION("if(isblank(A268),,split(A268,""ー""))"),"12-66")</f>
        <v>12-66</v>
      </c>
      <c r="K268" s="13" t="str">
        <f>IFERROR(__xludf.DUMMYFUNCTION("if(isblank(B268),,split(B268,""ー""))"),"12-78")</f>
        <v>12-78</v>
      </c>
    </row>
    <row r="269">
      <c r="A269" s="15" t="s">
        <v>709</v>
      </c>
      <c r="B269" s="16" t="s">
        <v>723</v>
      </c>
      <c r="C269" s="9"/>
      <c r="D269" s="10" t="s">
        <v>711</v>
      </c>
      <c r="E269" s="10" t="s">
        <v>447</v>
      </c>
      <c r="F269" s="11" t="s">
        <v>712</v>
      </c>
      <c r="G269" s="12" t="s">
        <v>713</v>
      </c>
      <c r="I269" s="13" t="str">
        <f>IFERROR(__xludf.DUMMYFUNCTION("if(isblank(A269),,split(A269,""ー""))"),"12-66")</f>
        <v>12-66</v>
      </c>
      <c r="K269" s="13" t="str">
        <f>IFERROR(__xludf.DUMMYFUNCTION("if(isblank(B269),,split(B269,""ー""))"),"12-79")</f>
        <v>12-79</v>
      </c>
    </row>
    <row r="270">
      <c r="A270" s="15" t="s">
        <v>709</v>
      </c>
      <c r="B270" s="16" t="s">
        <v>724</v>
      </c>
      <c r="C270" s="9"/>
      <c r="D270" s="10" t="s">
        <v>711</v>
      </c>
      <c r="E270" s="10" t="s">
        <v>447</v>
      </c>
      <c r="F270" s="11" t="s">
        <v>712</v>
      </c>
      <c r="G270" s="12" t="s">
        <v>713</v>
      </c>
      <c r="I270" s="13" t="str">
        <f>IFERROR(__xludf.DUMMYFUNCTION("if(isblank(A270),,split(A270,""ー""))"),"12-66")</f>
        <v>12-66</v>
      </c>
      <c r="K270" s="13" t="str">
        <f>IFERROR(__xludf.DUMMYFUNCTION("if(isblank(B270),,split(B270,""ー""))"),"12-80")</f>
        <v>12-80</v>
      </c>
    </row>
    <row r="271">
      <c r="A271" s="15" t="s">
        <v>709</v>
      </c>
      <c r="B271" s="16" t="s">
        <v>725</v>
      </c>
      <c r="C271" s="9"/>
      <c r="D271" s="10" t="s">
        <v>711</v>
      </c>
      <c r="E271" s="10" t="s">
        <v>447</v>
      </c>
      <c r="F271" s="11" t="s">
        <v>712</v>
      </c>
      <c r="G271" s="12" t="s">
        <v>713</v>
      </c>
      <c r="I271" s="13" t="str">
        <f>IFERROR(__xludf.DUMMYFUNCTION("if(isblank(A271),,split(A271,""ー""))"),"12-66")</f>
        <v>12-66</v>
      </c>
      <c r="K271" s="13" t="str">
        <f>IFERROR(__xludf.DUMMYFUNCTION("if(isblank(B271),,split(B271,""ー""))"),"12-81")</f>
        <v>12-81</v>
      </c>
    </row>
    <row r="272">
      <c r="A272" s="15" t="s">
        <v>709</v>
      </c>
      <c r="B272" s="16" t="s">
        <v>726</v>
      </c>
      <c r="C272" s="9"/>
      <c r="D272" s="10" t="s">
        <v>711</v>
      </c>
      <c r="E272" s="10" t="s">
        <v>447</v>
      </c>
      <c r="F272" s="11" t="s">
        <v>712</v>
      </c>
      <c r="G272" s="12" t="s">
        <v>713</v>
      </c>
      <c r="I272" s="13" t="str">
        <f>IFERROR(__xludf.DUMMYFUNCTION("if(isblank(A272),,split(A272,""ー""))"),"12-66")</f>
        <v>12-66</v>
      </c>
      <c r="K272" s="13" t="str">
        <f>IFERROR(__xludf.DUMMYFUNCTION("if(isblank(B272),,split(B272,""ー""))"),"12-82")</f>
        <v>12-82</v>
      </c>
    </row>
    <row r="273">
      <c r="A273" s="15" t="s">
        <v>709</v>
      </c>
      <c r="B273" s="16" t="s">
        <v>727</v>
      </c>
      <c r="C273" s="9"/>
      <c r="D273" s="10" t="s">
        <v>711</v>
      </c>
      <c r="E273" s="10" t="s">
        <v>447</v>
      </c>
      <c r="F273" s="11" t="s">
        <v>712</v>
      </c>
      <c r="G273" s="12" t="s">
        <v>713</v>
      </c>
      <c r="I273" s="13" t="str">
        <f>IFERROR(__xludf.DUMMYFUNCTION("if(isblank(A273),,split(A273,""ー""))"),"12-66")</f>
        <v>12-66</v>
      </c>
      <c r="K273" s="13" t="str">
        <f>IFERROR(__xludf.DUMMYFUNCTION("if(isblank(B273),,split(B273,""ー""))"),"12-83")</f>
        <v>12-83</v>
      </c>
    </row>
    <row r="274">
      <c r="A274" s="15" t="s">
        <v>709</v>
      </c>
      <c r="B274" s="16" t="s">
        <v>728</v>
      </c>
      <c r="C274" s="9"/>
      <c r="D274" s="10" t="s">
        <v>711</v>
      </c>
      <c r="E274" s="10" t="s">
        <v>447</v>
      </c>
      <c r="F274" s="11" t="s">
        <v>712</v>
      </c>
      <c r="G274" s="12" t="s">
        <v>713</v>
      </c>
      <c r="I274" s="13" t="str">
        <f>IFERROR(__xludf.DUMMYFUNCTION("if(isblank(A274),,split(A274,""ー""))"),"12-66")</f>
        <v>12-66</v>
      </c>
      <c r="K274" s="13" t="str">
        <f>IFERROR(__xludf.DUMMYFUNCTION("if(isblank(B274),,split(B274,""ー""))"),"12-84")</f>
        <v>12-84</v>
      </c>
    </row>
    <row r="275">
      <c r="A275" s="15" t="s">
        <v>709</v>
      </c>
      <c r="B275" s="16" t="s">
        <v>729</v>
      </c>
      <c r="C275" s="9"/>
      <c r="D275" s="10" t="s">
        <v>711</v>
      </c>
      <c r="E275" s="10" t="s">
        <v>447</v>
      </c>
      <c r="F275" s="11" t="s">
        <v>712</v>
      </c>
      <c r="G275" s="12" t="s">
        <v>713</v>
      </c>
      <c r="I275" s="13" t="str">
        <f>IFERROR(__xludf.DUMMYFUNCTION("if(isblank(A275),,split(A275,""ー""))"),"12-66")</f>
        <v>12-66</v>
      </c>
      <c r="K275" s="13" t="str">
        <f>IFERROR(__xludf.DUMMYFUNCTION("if(isblank(B275),,split(B275,""ー""))"),"12-85")</f>
        <v>12-85</v>
      </c>
    </row>
    <row r="276">
      <c r="A276" s="15" t="s">
        <v>709</v>
      </c>
      <c r="B276" s="16" t="s">
        <v>730</v>
      </c>
      <c r="C276" s="9"/>
      <c r="D276" s="10" t="s">
        <v>711</v>
      </c>
      <c r="E276" s="10" t="s">
        <v>447</v>
      </c>
      <c r="F276" s="11" t="s">
        <v>712</v>
      </c>
      <c r="G276" s="12" t="s">
        <v>713</v>
      </c>
      <c r="I276" s="13" t="str">
        <f>IFERROR(__xludf.DUMMYFUNCTION("if(isblank(A276),,split(A276,""ー""))"),"12-66")</f>
        <v>12-66</v>
      </c>
      <c r="K276" s="13" t="str">
        <f>IFERROR(__xludf.DUMMYFUNCTION("if(isblank(B276),,split(B276,""ー""))"),"12-86")</f>
        <v>12-86</v>
      </c>
    </row>
    <row r="277">
      <c r="A277" s="15" t="s">
        <v>709</v>
      </c>
      <c r="B277" s="16" t="s">
        <v>731</v>
      </c>
      <c r="C277" s="9"/>
      <c r="D277" s="10" t="s">
        <v>711</v>
      </c>
      <c r="E277" s="10" t="s">
        <v>447</v>
      </c>
      <c r="F277" s="11" t="s">
        <v>712</v>
      </c>
      <c r="G277" s="12" t="s">
        <v>713</v>
      </c>
      <c r="I277" s="13" t="str">
        <f>IFERROR(__xludf.DUMMYFUNCTION("if(isblank(A277),,split(A277,""ー""))"),"12-66")</f>
        <v>12-66</v>
      </c>
      <c r="K277" s="13" t="str">
        <f>IFERROR(__xludf.DUMMYFUNCTION("if(isblank(B277),,split(B277,""ー""))"),"12-87")</f>
        <v>12-87</v>
      </c>
    </row>
    <row r="278">
      <c r="A278" s="15" t="s">
        <v>709</v>
      </c>
      <c r="B278" s="16" t="s">
        <v>732</v>
      </c>
      <c r="C278" s="9"/>
      <c r="D278" s="10" t="s">
        <v>711</v>
      </c>
      <c r="E278" s="10" t="s">
        <v>447</v>
      </c>
      <c r="F278" s="11" t="s">
        <v>712</v>
      </c>
      <c r="G278" s="12" t="s">
        <v>713</v>
      </c>
      <c r="I278" s="13" t="str">
        <f>IFERROR(__xludf.DUMMYFUNCTION("if(isblank(A278),,split(A278,""ー""))"),"12-66")</f>
        <v>12-66</v>
      </c>
      <c r="K278" s="13" t="str">
        <f>IFERROR(__xludf.DUMMYFUNCTION("if(isblank(B278),,split(B278,""ー""))"),"12-88")</f>
        <v>12-88</v>
      </c>
    </row>
    <row r="279">
      <c r="A279" s="15" t="s">
        <v>709</v>
      </c>
      <c r="B279" s="16" t="s">
        <v>733</v>
      </c>
      <c r="C279" s="9"/>
      <c r="D279" s="10" t="s">
        <v>711</v>
      </c>
      <c r="E279" s="10" t="s">
        <v>447</v>
      </c>
      <c r="F279" s="11" t="s">
        <v>712</v>
      </c>
      <c r="G279" s="12" t="s">
        <v>713</v>
      </c>
      <c r="I279" s="13" t="str">
        <f>IFERROR(__xludf.DUMMYFUNCTION("if(isblank(A279),,split(A279,""ー""))"),"12-66")</f>
        <v>12-66</v>
      </c>
      <c r="K279" s="13" t="str">
        <f>IFERROR(__xludf.DUMMYFUNCTION("if(isblank(B279),,split(B279,""ー""))"),"12-89")</f>
        <v>12-89</v>
      </c>
    </row>
    <row r="280">
      <c r="A280" s="15" t="s">
        <v>709</v>
      </c>
      <c r="B280" s="16" t="s">
        <v>734</v>
      </c>
      <c r="C280" s="9"/>
      <c r="D280" s="10" t="s">
        <v>711</v>
      </c>
      <c r="E280" s="10" t="s">
        <v>447</v>
      </c>
      <c r="F280" s="11" t="s">
        <v>712</v>
      </c>
      <c r="G280" s="12" t="s">
        <v>713</v>
      </c>
      <c r="I280" s="13" t="str">
        <f>IFERROR(__xludf.DUMMYFUNCTION("if(isblank(A280),,split(A280,""ー""))"),"12-66")</f>
        <v>12-66</v>
      </c>
      <c r="K280" s="13" t="str">
        <f>IFERROR(__xludf.DUMMYFUNCTION("if(isblank(B280),,split(B280,""ー""))"),"12-90")</f>
        <v>12-90</v>
      </c>
    </row>
    <row r="281">
      <c r="A281" s="15" t="s">
        <v>709</v>
      </c>
      <c r="B281" s="16" t="s">
        <v>735</v>
      </c>
      <c r="C281" s="9"/>
      <c r="D281" s="10" t="s">
        <v>711</v>
      </c>
      <c r="E281" s="10" t="s">
        <v>447</v>
      </c>
      <c r="F281" s="11" t="s">
        <v>712</v>
      </c>
      <c r="G281" s="12" t="s">
        <v>713</v>
      </c>
      <c r="I281" s="13" t="str">
        <f>IFERROR(__xludf.DUMMYFUNCTION("if(isblank(A281),,split(A281,""ー""))"),"12-66")</f>
        <v>12-66</v>
      </c>
      <c r="K281" s="13" t="str">
        <f>IFERROR(__xludf.DUMMYFUNCTION("if(isblank(B281),,split(B281,""ー""))"),"12-91")</f>
        <v>12-91</v>
      </c>
    </row>
    <row r="282">
      <c r="A282" s="15" t="s">
        <v>709</v>
      </c>
      <c r="B282" s="16" t="s">
        <v>736</v>
      </c>
      <c r="C282" s="9"/>
      <c r="D282" s="10" t="s">
        <v>711</v>
      </c>
      <c r="E282" s="10" t="s">
        <v>447</v>
      </c>
      <c r="F282" s="11" t="s">
        <v>712</v>
      </c>
      <c r="G282" s="12" t="s">
        <v>713</v>
      </c>
      <c r="I282" s="13" t="str">
        <f>IFERROR(__xludf.DUMMYFUNCTION("if(isblank(A282),,split(A282,""ー""))"),"12-66")</f>
        <v>12-66</v>
      </c>
      <c r="K282" s="13" t="str">
        <f>IFERROR(__xludf.DUMMYFUNCTION("if(isblank(B282),,split(B282,""ー""))"),"12-92")</f>
        <v>12-92</v>
      </c>
    </row>
    <row r="283">
      <c r="A283" s="15" t="s">
        <v>709</v>
      </c>
      <c r="B283" s="16" t="s">
        <v>737</v>
      </c>
      <c r="C283" s="9"/>
      <c r="D283" s="10" t="s">
        <v>711</v>
      </c>
      <c r="E283" s="10" t="s">
        <v>447</v>
      </c>
      <c r="F283" s="11" t="s">
        <v>712</v>
      </c>
      <c r="G283" s="12" t="s">
        <v>713</v>
      </c>
      <c r="I283" s="13" t="str">
        <f>IFERROR(__xludf.DUMMYFUNCTION("if(isblank(A283),,split(A283,""ー""))"),"12-66")</f>
        <v>12-66</v>
      </c>
      <c r="K283" s="13" t="str">
        <f>IFERROR(__xludf.DUMMYFUNCTION("if(isblank(B283),,split(B283,""ー""))"),"12-93")</f>
        <v>12-93</v>
      </c>
    </row>
    <row r="284">
      <c r="A284" s="15" t="s">
        <v>709</v>
      </c>
      <c r="B284" s="16" t="s">
        <v>738</v>
      </c>
      <c r="C284" s="9"/>
      <c r="D284" s="10" t="s">
        <v>711</v>
      </c>
      <c r="E284" s="10" t="s">
        <v>447</v>
      </c>
      <c r="F284" s="11" t="s">
        <v>712</v>
      </c>
      <c r="G284" s="12" t="s">
        <v>713</v>
      </c>
      <c r="I284" s="13" t="str">
        <f>IFERROR(__xludf.DUMMYFUNCTION("if(isblank(A284),,split(A284,""ー""))"),"12-66")</f>
        <v>12-66</v>
      </c>
      <c r="K284" s="13" t="str">
        <f>IFERROR(__xludf.DUMMYFUNCTION("if(isblank(B284),,split(B284,""ー""))"),"12-94")</f>
        <v>12-94</v>
      </c>
    </row>
    <row r="285">
      <c r="A285" s="15" t="s">
        <v>709</v>
      </c>
      <c r="B285" s="16" t="s">
        <v>739</v>
      </c>
      <c r="C285" s="9"/>
      <c r="D285" s="10" t="s">
        <v>711</v>
      </c>
      <c r="E285" s="10" t="s">
        <v>447</v>
      </c>
      <c r="F285" s="11" t="s">
        <v>712</v>
      </c>
      <c r="G285" s="12" t="s">
        <v>713</v>
      </c>
      <c r="I285" s="13" t="str">
        <f>IFERROR(__xludf.DUMMYFUNCTION("if(isblank(A285),,split(A285,""ー""))"),"12-66")</f>
        <v>12-66</v>
      </c>
      <c r="K285" s="13" t="str">
        <f>IFERROR(__xludf.DUMMYFUNCTION("if(isblank(B285),,split(B285,""ー""))"),"12-95")</f>
        <v>12-95</v>
      </c>
    </row>
    <row r="286">
      <c r="A286" s="15" t="s">
        <v>709</v>
      </c>
      <c r="B286" s="16" t="s">
        <v>740</v>
      </c>
      <c r="C286" s="9"/>
      <c r="D286" s="10" t="s">
        <v>711</v>
      </c>
      <c r="E286" s="10" t="s">
        <v>447</v>
      </c>
      <c r="F286" s="11" t="s">
        <v>712</v>
      </c>
      <c r="G286" s="12" t="s">
        <v>713</v>
      </c>
      <c r="I286" s="13" t="str">
        <f>IFERROR(__xludf.DUMMYFUNCTION("if(isblank(A286),,split(A286,""ー""))"),"12-66")</f>
        <v>12-66</v>
      </c>
      <c r="K286" s="13" t="str">
        <f>IFERROR(__xludf.DUMMYFUNCTION("if(isblank(B286),,split(B286,""ー""))"),"12-96")</f>
        <v>12-96</v>
      </c>
    </row>
    <row r="287">
      <c r="A287" s="15" t="s">
        <v>709</v>
      </c>
      <c r="B287" s="16" t="s">
        <v>741</v>
      </c>
      <c r="C287" s="9"/>
      <c r="D287" s="10" t="s">
        <v>711</v>
      </c>
      <c r="E287" s="10" t="s">
        <v>447</v>
      </c>
      <c r="F287" s="11" t="s">
        <v>712</v>
      </c>
      <c r="G287" s="12" t="s">
        <v>713</v>
      </c>
      <c r="I287" s="13" t="str">
        <f>IFERROR(__xludf.DUMMYFUNCTION("if(isblank(A287),,split(A287,""ー""))"),"12-66")</f>
        <v>12-66</v>
      </c>
      <c r="K287" s="13" t="str">
        <f>IFERROR(__xludf.DUMMYFUNCTION("if(isblank(B287),,split(B287,""ー""))"),"12-97")</f>
        <v>12-97</v>
      </c>
    </row>
    <row r="288">
      <c r="A288" s="15" t="s">
        <v>709</v>
      </c>
      <c r="B288" s="16" t="s">
        <v>742</v>
      </c>
      <c r="C288" s="9"/>
      <c r="D288" s="10" t="s">
        <v>711</v>
      </c>
      <c r="E288" s="10" t="s">
        <v>447</v>
      </c>
      <c r="F288" s="11" t="s">
        <v>712</v>
      </c>
      <c r="G288" s="12" t="s">
        <v>713</v>
      </c>
      <c r="I288" s="13" t="str">
        <f>IFERROR(__xludf.DUMMYFUNCTION("if(isblank(A288),,split(A288,""ー""))"),"12-66")</f>
        <v>12-66</v>
      </c>
      <c r="K288" s="13" t="str">
        <f>IFERROR(__xludf.DUMMYFUNCTION("if(isblank(B288),,split(B288,""ー""))"),"12-98")</f>
        <v>12-98</v>
      </c>
    </row>
    <row r="289">
      <c r="A289" s="15" t="s">
        <v>709</v>
      </c>
      <c r="B289" s="16" t="s">
        <v>743</v>
      </c>
      <c r="C289" s="9"/>
      <c r="D289" s="10" t="s">
        <v>711</v>
      </c>
      <c r="E289" s="10" t="s">
        <v>447</v>
      </c>
      <c r="F289" s="11" t="s">
        <v>712</v>
      </c>
      <c r="G289" s="12" t="s">
        <v>713</v>
      </c>
      <c r="I289" s="13" t="str">
        <f>IFERROR(__xludf.DUMMYFUNCTION("if(isblank(A289),,split(A289,""ー""))"),"12-66")</f>
        <v>12-66</v>
      </c>
      <c r="K289" s="13" t="str">
        <f>IFERROR(__xludf.DUMMYFUNCTION("if(isblank(B289),,split(B289,""ー""))"),"12-99")</f>
        <v>12-99</v>
      </c>
    </row>
    <row r="290">
      <c r="A290" s="15" t="s">
        <v>744</v>
      </c>
      <c r="B290" s="16" t="s">
        <v>745</v>
      </c>
      <c r="C290" s="9"/>
      <c r="D290" s="10" t="s">
        <v>165</v>
      </c>
      <c r="E290" s="10" t="s">
        <v>447</v>
      </c>
      <c r="F290" s="11" t="s">
        <v>746</v>
      </c>
      <c r="G290" s="12" t="s">
        <v>692</v>
      </c>
      <c r="I290" s="13" t="str">
        <f>IFERROR(__xludf.DUMMYFUNCTION("if(isblank(A290),,split(A290,""ー""))"),"12-67")</f>
        <v>12-67</v>
      </c>
      <c r="K290" s="13" t="str">
        <f>IFERROR(__xludf.DUMMYFUNCTION("if(isblank(B290),,split(B290,""ー""))"),"12-106")</f>
        <v>12-106</v>
      </c>
    </row>
    <row r="291">
      <c r="A291" s="15" t="s">
        <v>747</v>
      </c>
      <c r="B291" s="16" t="s">
        <v>748</v>
      </c>
      <c r="C291" s="9"/>
      <c r="D291" s="10" t="s">
        <v>749</v>
      </c>
      <c r="E291" s="10" t="s">
        <v>588</v>
      </c>
      <c r="F291" s="11" t="s">
        <v>36</v>
      </c>
      <c r="G291" s="12" t="s">
        <v>750</v>
      </c>
      <c r="I291" s="13" t="str">
        <f>IFERROR(__xludf.DUMMYFUNCTION("if(isblank(A291),,split(A291,""ー""))"),"13-14")</f>
        <v>13-14</v>
      </c>
      <c r="K291" s="13" t="str">
        <f>IFERROR(__xludf.DUMMYFUNCTION("if(isblank(B291),,split(B291,""ー""))"),"13-16")</f>
        <v>13-16</v>
      </c>
    </row>
    <row r="292">
      <c r="A292" s="15" t="s">
        <v>751</v>
      </c>
      <c r="B292" s="16" t="s">
        <v>752</v>
      </c>
      <c r="C292" s="9"/>
      <c r="D292" s="10" t="s">
        <v>125</v>
      </c>
      <c r="E292" s="10" t="s">
        <v>588</v>
      </c>
      <c r="F292" s="11" t="s">
        <v>36</v>
      </c>
      <c r="G292" s="12" t="s">
        <v>753</v>
      </c>
      <c r="I292" s="13" t="str">
        <f>IFERROR(__xludf.DUMMYFUNCTION("if(isblank(A292),,split(A292,""ー""))"),"13-17")</f>
        <v>13-17</v>
      </c>
      <c r="K292" s="13" t="str">
        <f>IFERROR(__xludf.DUMMYFUNCTION("if(isblank(B292),,split(B292,""ー""))"),"13-21")</f>
        <v>13-21</v>
      </c>
    </row>
    <row r="293">
      <c r="A293" s="15" t="s">
        <v>751</v>
      </c>
      <c r="B293" s="16" t="s">
        <v>754</v>
      </c>
      <c r="C293" s="9"/>
      <c r="D293" s="10" t="s">
        <v>360</v>
      </c>
      <c r="E293" s="10" t="s">
        <v>588</v>
      </c>
      <c r="F293" s="11" t="s">
        <v>36</v>
      </c>
      <c r="G293" s="12" t="s">
        <v>755</v>
      </c>
      <c r="I293" s="13" t="str">
        <f>IFERROR(__xludf.DUMMYFUNCTION("if(isblank(A293),,split(A293,""ー""))"),"13-17")</f>
        <v>13-17</v>
      </c>
      <c r="K293" s="13" t="str">
        <f>IFERROR(__xludf.DUMMYFUNCTION("if(isblank(B293),,split(B293,""ー""))"),"13-28")</f>
        <v>13-28</v>
      </c>
    </row>
    <row r="294">
      <c r="A294" s="15" t="s">
        <v>756</v>
      </c>
      <c r="B294" s="16" t="s">
        <v>586</v>
      </c>
      <c r="C294" s="9"/>
      <c r="D294" s="10" t="s">
        <v>587</v>
      </c>
      <c r="E294" s="10" t="s">
        <v>588</v>
      </c>
      <c r="F294" s="11" t="s">
        <v>589</v>
      </c>
      <c r="G294" s="12" t="s">
        <v>757</v>
      </c>
      <c r="I294" s="13" t="str">
        <f>IFERROR(__xludf.DUMMYFUNCTION("if(isblank(A294),,split(A294,""ー""))"),"13-175")</f>
        <v>13-175</v>
      </c>
      <c r="K294" s="38">
        <f>IFERROR(__xludf.DUMMYFUNCTION("if(isblank(B294),,split(B294,""ー""))"),44047.0)</f>
        <v>44047</v>
      </c>
    </row>
    <row r="295">
      <c r="A295" s="15" t="s">
        <v>758</v>
      </c>
      <c r="B295" s="16" t="s">
        <v>586</v>
      </c>
      <c r="C295" s="9"/>
      <c r="D295" s="10" t="s">
        <v>587</v>
      </c>
      <c r="E295" s="10" t="s">
        <v>588</v>
      </c>
      <c r="F295" s="11" t="s">
        <v>589</v>
      </c>
      <c r="G295" s="12" t="s">
        <v>757</v>
      </c>
      <c r="I295" s="13" t="str">
        <f>IFERROR(__xludf.DUMMYFUNCTION("if(isblank(A295),,split(A295,""ー""))"),"13-179")</f>
        <v>13-179</v>
      </c>
      <c r="K295" s="38">
        <f>IFERROR(__xludf.DUMMYFUNCTION("if(isblank(B295),,split(B295,""ー""))"),44047.0)</f>
        <v>44047</v>
      </c>
    </row>
    <row r="296">
      <c r="A296" s="15" t="s">
        <v>759</v>
      </c>
      <c r="B296" s="16" t="s">
        <v>586</v>
      </c>
      <c r="C296" s="9"/>
      <c r="D296" s="10" t="s">
        <v>587</v>
      </c>
      <c r="E296" s="10" t="s">
        <v>588</v>
      </c>
      <c r="F296" s="11" t="s">
        <v>589</v>
      </c>
      <c r="G296" s="12" t="s">
        <v>757</v>
      </c>
      <c r="I296" s="13" t="str">
        <f>IFERROR(__xludf.DUMMYFUNCTION("if(isblank(A296),,split(A296,""ー""))"),"13-180")</f>
        <v>13-180</v>
      </c>
      <c r="K296" s="38">
        <f>IFERROR(__xludf.DUMMYFUNCTION("if(isblank(B296),,split(B296,""ー""))"),44047.0)</f>
        <v>44047</v>
      </c>
    </row>
    <row r="297">
      <c r="A297" s="15" t="s">
        <v>760</v>
      </c>
      <c r="B297" s="16" t="s">
        <v>586</v>
      </c>
      <c r="C297" s="9"/>
      <c r="D297" s="10" t="s">
        <v>587</v>
      </c>
      <c r="E297" s="10" t="s">
        <v>588</v>
      </c>
      <c r="F297" s="11" t="s">
        <v>589</v>
      </c>
      <c r="G297" s="12" t="s">
        <v>757</v>
      </c>
      <c r="I297" s="13" t="str">
        <f>IFERROR(__xludf.DUMMYFUNCTION("if(isblank(A297),,split(A297,""ー""))"),"13-181")</f>
        <v>13-181</v>
      </c>
      <c r="K297" s="38">
        <f>IFERROR(__xludf.DUMMYFUNCTION("if(isblank(B297),,split(B297,""ー""))"),44047.0)</f>
        <v>44047</v>
      </c>
    </row>
    <row r="298">
      <c r="A298" s="15" t="s">
        <v>761</v>
      </c>
      <c r="B298" s="16" t="s">
        <v>586</v>
      </c>
      <c r="C298" s="9"/>
      <c r="D298" s="10" t="s">
        <v>587</v>
      </c>
      <c r="E298" s="10" t="s">
        <v>588</v>
      </c>
      <c r="F298" s="11" t="s">
        <v>589</v>
      </c>
      <c r="G298" s="12" t="s">
        <v>757</v>
      </c>
      <c r="I298" s="13" t="str">
        <f>IFERROR(__xludf.DUMMYFUNCTION("if(isblank(A298),,split(A298,""ー""))"),"13-182")</f>
        <v>13-182</v>
      </c>
      <c r="K298" s="38">
        <f>IFERROR(__xludf.DUMMYFUNCTION("if(isblank(B298),,split(B298,""ー""))"),44047.0)</f>
        <v>44047</v>
      </c>
    </row>
    <row r="299">
      <c r="A299" s="15" t="s">
        <v>762</v>
      </c>
      <c r="B299" s="16" t="s">
        <v>586</v>
      </c>
      <c r="C299" s="9"/>
      <c r="D299" s="10" t="s">
        <v>587</v>
      </c>
      <c r="E299" s="10" t="s">
        <v>588</v>
      </c>
      <c r="F299" s="11" t="s">
        <v>589</v>
      </c>
      <c r="G299" s="12" t="s">
        <v>757</v>
      </c>
      <c r="I299" s="13" t="str">
        <f>IFERROR(__xludf.DUMMYFUNCTION("if(isblank(A299),,split(A299,""ー""))"),"13-183")</f>
        <v>13-183</v>
      </c>
      <c r="K299" s="38">
        <f>IFERROR(__xludf.DUMMYFUNCTION("if(isblank(B299),,split(B299,""ー""))"),44047.0)</f>
        <v>44047</v>
      </c>
    </row>
    <row r="300">
      <c r="A300" s="15" t="s">
        <v>763</v>
      </c>
      <c r="B300" s="16" t="s">
        <v>586</v>
      </c>
      <c r="C300" s="9"/>
      <c r="D300" s="10" t="s">
        <v>587</v>
      </c>
      <c r="E300" s="10" t="s">
        <v>588</v>
      </c>
      <c r="F300" s="11" t="s">
        <v>589</v>
      </c>
      <c r="G300" s="12" t="s">
        <v>757</v>
      </c>
      <c r="I300" s="13" t="str">
        <f>IFERROR(__xludf.DUMMYFUNCTION("if(isblank(A300),,split(A300,""ー""))"),"13-184")</f>
        <v>13-184</v>
      </c>
      <c r="K300" s="38">
        <f>IFERROR(__xludf.DUMMYFUNCTION("if(isblank(B300),,split(B300,""ー""))"),44047.0)</f>
        <v>44047</v>
      </c>
    </row>
    <row r="301">
      <c r="A301" s="15" t="s">
        <v>764</v>
      </c>
      <c r="B301" s="16" t="s">
        <v>765</v>
      </c>
      <c r="C301" s="9"/>
      <c r="D301" s="10" t="s">
        <v>44</v>
      </c>
      <c r="E301" s="10" t="s">
        <v>588</v>
      </c>
      <c r="F301" s="11" t="s">
        <v>36</v>
      </c>
      <c r="G301" s="12" t="s">
        <v>766</v>
      </c>
      <c r="I301" s="13" t="str">
        <f>IFERROR(__xludf.DUMMYFUNCTION("if(isblank(A301),,split(A301,""ー""))"),"13-20")</f>
        <v>13-20</v>
      </c>
      <c r="K301" s="13" t="str">
        <f>IFERROR(__xludf.DUMMYFUNCTION("if(isblank(B301),,split(B301,""ー""))"),"13-25")</f>
        <v>13-25</v>
      </c>
    </row>
    <row r="302">
      <c r="A302" s="15" t="s">
        <v>764</v>
      </c>
      <c r="B302" s="16" t="s">
        <v>767</v>
      </c>
      <c r="C302" s="9"/>
      <c r="D302" s="10" t="s">
        <v>768</v>
      </c>
      <c r="E302" s="10" t="s">
        <v>588</v>
      </c>
      <c r="F302" s="11" t="s">
        <v>769</v>
      </c>
      <c r="G302" s="12" t="s">
        <v>770</v>
      </c>
      <c r="I302" s="13" t="str">
        <f>IFERROR(__xludf.DUMMYFUNCTION("if(isblank(A302),,split(A302,""ー""))"),"13-20")</f>
        <v>13-20</v>
      </c>
      <c r="K302" s="13" t="str">
        <f>IFERROR(__xludf.DUMMYFUNCTION("if(isblank(B302),,split(B302,""ー""))"),"13-37")</f>
        <v>13-37</v>
      </c>
    </row>
    <row r="303">
      <c r="A303" s="15" t="s">
        <v>764</v>
      </c>
      <c r="B303" s="16" t="s">
        <v>771</v>
      </c>
      <c r="C303" s="9"/>
      <c r="D303" s="10" t="s">
        <v>772</v>
      </c>
      <c r="E303" s="10" t="s">
        <v>588</v>
      </c>
      <c r="F303" s="11" t="s">
        <v>769</v>
      </c>
      <c r="G303" s="64" t="s">
        <v>773</v>
      </c>
      <c r="I303" s="13" t="str">
        <f>IFERROR(__xludf.DUMMYFUNCTION("if(isblank(A303),,split(A303,""ー""))"),"13-20")</f>
        <v>13-20</v>
      </c>
      <c r="K303" s="13" t="str">
        <f>IFERROR(__xludf.DUMMYFUNCTION("if(isblank(B303),,split(B303,""ー""))"),"13-39")</f>
        <v>13-39</v>
      </c>
    </row>
    <row r="304">
      <c r="A304" s="15" t="s">
        <v>774</v>
      </c>
      <c r="B304" s="16" t="s">
        <v>586</v>
      </c>
      <c r="C304" s="9"/>
      <c r="D304" s="10" t="s">
        <v>587</v>
      </c>
      <c r="E304" s="10" t="s">
        <v>588</v>
      </c>
      <c r="F304" s="11" t="s">
        <v>589</v>
      </c>
      <c r="G304" s="12" t="s">
        <v>775</v>
      </c>
      <c r="I304" s="13" t="str">
        <f>IFERROR(__xludf.DUMMYFUNCTION("if(isblank(A304),,split(A304,""ー""))"),"13-213")</f>
        <v>13-213</v>
      </c>
      <c r="K304" s="38">
        <f>IFERROR(__xludf.DUMMYFUNCTION("if(isblank(B304),,split(B304,""ー""))"),44047.0)</f>
        <v>44047</v>
      </c>
    </row>
    <row r="305">
      <c r="A305" s="15" t="s">
        <v>776</v>
      </c>
      <c r="B305" s="16" t="s">
        <v>586</v>
      </c>
      <c r="C305" s="9"/>
      <c r="D305" s="10" t="s">
        <v>587</v>
      </c>
      <c r="E305" s="10" t="s">
        <v>588</v>
      </c>
      <c r="F305" s="11" t="s">
        <v>589</v>
      </c>
      <c r="G305" s="12" t="s">
        <v>775</v>
      </c>
      <c r="I305" s="13" t="str">
        <f>IFERROR(__xludf.DUMMYFUNCTION("if(isblank(A305),,split(A305,""ー""))"),"13-214")</f>
        <v>13-214</v>
      </c>
      <c r="K305" s="38">
        <f>IFERROR(__xludf.DUMMYFUNCTION("if(isblank(B305),,split(B305,""ー""))"),44047.0)</f>
        <v>44047</v>
      </c>
    </row>
    <row r="306">
      <c r="A306" s="15" t="s">
        <v>777</v>
      </c>
      <c r="B306" s="16" t="s">
        <v>586</v>
      </c>
      <c r="C306" s="9"/>
      <c r="D306" s="10" t="s">
        <v>587</v>
      </c>
      <c r="E306" s="10" t="s">
        <v>588</v>
      </c>
      <c r="F306" s="11" t="s">
        <v>589</v>
      </c>
      <c r="G306" s="12" t="s">
        <v>775</v>
      </c>
      <c r="I306" s="13" t="str">
        <f>IFERROR(__xludf.DUMMYFUNCTION("if(isblank(A306),,split(A306,""ー""))"),"13-215")</f>
        <v>13-215</v>
      </c>
      <c r="K306" s="38">
        <f>IFERROR(__xludf.DUMMYFUNCTION("if(isblank(B306),,split(B306,""ー""))"),44047.0)</f>
        <v>44047</v>
      </c>
    </row>
    <row r="307">
      <c r="A307" s="15" t="s">
        <v>778</v>
      </c>
      <c r="B307" s="16" t="s">
        <v>586</v>
      </c>
      <c r="C307" s="9"/>
      <c r="D307" s="10" t="s">
        <v>587</v>
      </c>
      <c r="E307" s="10" t="s">
        <v>588</v>
      </c>
      <c r="F307" s="11" t="s">
        <v>589</v>
      </c>
      <c r="G307" s="12" t="s">
        <v>775</v>
      </c>
      <c r="I307" s="13" t="str">
        <f>IFERROR(__xludf.DUMMYFUNCTION("if(isblank(A307),,split(A307,""ー""))"),"13-216")</f>
        <v>13-216</v>
      </c>
      <c r="K307" s="38">
        <f>IFERROR(__xludf.DUMMYFUNCTION("if(isblank(B307),,split(B307,""ー""))"),44047.0)</f>
        <v>44047</v>
      </c>
    </row>
    <row r="308">
      <c r="A308" s="15" t="s">
        <v>779</v>
      </c>
      <c r="B308" s="16" t="s">
        <v>586</v>
      </c>
      <c r="C308" s="9"/>
      <c r="D308" s="10" t="s">
        <v>587</v>
      </c>
      <c r="E308" s="10" t="s">
        <v>588</v>
      </c>
      <c r="F308" s="11" t="s">
        <v>589</v>
      </c>
      <c r="G308" s="12" t="s">
        <v>775</v>
      </c>
      <c r="I308" s="13" t="str">
        <f>IFERROR(__xludf.DUMMYFUNCTION("if(isblank(A308),,split(A308,""ー""))"),"13-217")</f>
        <v>13-217</v>
      </c>
      <c r="K308" s="38">
        <f>IFERROR(__xludf.DUMMYFUNCTION("if(isblank(B308),,split(B308,""ー""))"),44047.0)</f>
        <v>44047</v>
      </c>
    </row>
    <row r="309">
      <c r="A309" s="15" t="s">
        <v>780</v>
      </c>
      <c r="B309" s="16" t="s">
        <v>586</v>
      </c>
      <c r="C309" s="9"/>
      <c r="D309" s="10" t="s">
        <v>587</v>
      </c>
      <c r="E309" s="10" t="s">
        <v>588</v>
      </c>
      <c r="F309" s="11" t="s">
        <v>589</v>
      </c>
      <c r="G309" s="12" t="s">
        <v>775</v>
      </c>
      <c r="I309" s="13" t="str">
        <f>IFERROR(__xludf.DUMMYFUNCTION("if(isblank(A309),,split(A309,""ー""))"),"13-218")</f>
        <v>13-218</v>
      </c>
      <c r="K309" s="38">
        <f>IFERROR(__xludf.DUMMYFUNCTION("if(isblank(B309),,split(B309,""ー""))"),44047.0)</f>
        <v>44047</v>
      </c>
      <c r="Y309" s="4"/>
      <c r="Z309" s="4"/>
    </row>
    <row r="310">
      <c r="A310" s="15" t="s">
        <v>781</v>
      </c>
      <c r="B310" s="16" t="s">
        <v>586</v>
      </c>
      <c r="C310" s="9"/>
      <c r="D310" s="10" t="s">
        <v>587</v>
      </c>
      <c r="E310" s="10" t="s">
        <v>588</v>
      </c>
      <c r="F310" s="11" t="s">
        <v>589</v>
      </c>
      <c r="G310" s="12" t="s">
        <v>775</v>
      </c>
      <c r="I310" s="13" t="str">
        <f>IFERROR(__xludf.DUMMYFUNCTION("if(isblank(A310),,split(A310,""ー""))"),"13-219")</f>
        <v>13-219</v>
      </c>
      <c r="K310" s="38">
        <f>IFERROR(__xludf.DUMMYFUNCTION("if(isblank(B310),,split(B310,""ー""))"),44047.0)</f>
        <v>44047</v>
      </c>
    </row>
    <row r="311">
      <c r="A311" s="15" t="s">
        <v>782</v>
      </c>
      <c r="B311" s="16" t="s">
        <v>586</v>
      </c>
      <c r="C311" s="9"/>
      <c r="D311" s="10" t="s">
        <v>587</v>
      </c>
      <c r="E311" s="10" t="s">
        <v>588</v>
      </c>
      <c r="F311" s="11" t="s">
        <v>589</v>
      </c>
      <c r="G311" s="12" t="s">
        <v>775</v>
      </c>
      <c r="I311" s="13" t="str">
        <f>IFERROR(__xludf.DUMMYFUNCTION("if(isblank(A311),,split(A311,""ー""))"),"13-220")</f>
        <v>13-220</v>
      </c>
      <c r="K311" s="38">
        <f>IFERROR(__xludf.DUMMYFUNCTION("if(isblank(B311),,split(B311,""ー""))"),44047.0)</f>
        <v>44047</v>
      </c>
    </row>
    <row r="312">
      <c r="A312" s="15" t="s">
        <v>783</v>
      </c>
      <c r="B312" s="16" t="s">
        <v>586</v>
      </c>
      <c r="C312" s="9"/>
      <c r="D312" s="10" t="s">
        <v>587</v>
      </c>
      <c r="E312" s="10" t="s">
        <v>588</v>
      </c>
      <c r="F312" s="11" t="s">
        <v>589</v>
      </c>
      <c r="G312" s="12" t="s">
        <v>775</v>
      </c>
      <c r="I312" s="13" t="str">
        <f>IFERROR(__xludf.DUMMYFUNCTION("if(isblank(A312),,split(A312,""ー""))"),"13-221")</f>
        <v>13-221</v>
      </c>
      <c r="K312" s="38">
        <f>IFERROR(__xludf.DUMMYFUNCTION("if(isblank(B312),,split(B312,""ー""))"),44047.0)</f>
        <v>44047</v>
      </c>
    </row>
    <row r="313">
      <c r="A313" s="15" t="s">
        <v>784</v>
      </c>
      <c r="B313" s="16" t="s">
        <v>586</v>
      </c>
      <c r="C313" s="9"/>
      <c r="D313" s="10" t="s">
        <v>587</v>
      </c>
      <c r="E313" s="10" t="s">
        <v>588</v>
      </c>
      <c r="F313" s="11" t="s">
        <v>589</v>
      </c>
      <c r="G313" s="12" t="s">
        <v>775</v>
      </c>
      <c r="I313" s="13" t="str">
        <f>IFERROR(__xludf.DUMMYFUNCTION("if(isblank(A313),,split(A313,""ー""))"),"13-222")</f>
        <v>13-222</v>
      </c>
      <c r="K313" s="38">
        <f>IFERROR(__xludf.DUMMYFUNCTION("if(isblank(B313),,split(B313,""ー""))"),44047.0)</f>
        <v>44047</v>
      </c>
    </row>
    <row r="314">
      <c r="A314" s="15" t="s">
        <v>785</v>
      </c>
      <c r="B314" s="16" t="s">
        <v>786</v>
      </c>
      <c r="C314" s="9"/>
      <c r="D314" s="10" t="s">
        <v>44</v>
      </c>
      <c r="E314" s="10" t="s">
        <v>588</v>
      </c>
      <c r="F314" s="11" t="s">
        <v>36</v>
      </c>
      <c r="G314" s="12" t="s">
        <v>766</v>
      </c>
      <c r="I314" s="13" t="str">
        <f>IFERROR(__xludf.DUMMYFUNCTION("if(isblank(A314),,split(A314,""ー""))"),"13-23")</f>
        <v>13-23</v>
      </c>
      <c r="K314" s="13" t="str">
        <f>IFERROR(__xludf.DUMMYFUNCTION("if(isblank(B314),,split(B314,""ー""))"),"13-24")</f>
        <v>13-24</v>
      </c>
    </row>
    <row r="315">
      <c r="A315" s="15" t="s">
        <v>787</v>
      </c>
      <c r="B315" s="16" t="s">
        <v>754</v>
      </c>
      <c r="C315" s="9"/>
      <c r="D315" s="10" t="s">
        <v>52</v>
      </c>
      <c r="E315" s="10" t="s">
        <v>588</v>
      </c>
      <c r="F315" s="11" t="s">
        <v>36</v>
      </c>
      <c r="G315" s="12" t="s">
        <v>755</v>
      </c>
      <c r="I315" s="13" t="str">
        <f>IFERROR(__xludf.DUMMYFUNCTION("if(isblank(A315),,split(A315,""ー""))"),"13-27")</f>
        <v>13-27</v>
      </c>
      <c r="K315" s="13" t="str">
        <f>IFERROR(__xludf.DUMMYFUNCTION("if(isblank(B315),,split(B315,""ー""))"),"13-28")</f>
        <v>13-28</v>
      </c>
      <c r="AA315" s="4"/>
    </row>
    <row r="316">
      <c r="A316" s="15" t="s">
        <v>788</v>
      </c>
      <c r="B316" s="16" t="s">
        <v>789</v>
      </c>
      <c r="C316" s="9">
        <v>43909.0</v>
      </c>
      <c r="D316" s="10" t="s">
        <v>790</v>
      </c>
      <c r="E316" s="10" t="s">
        <v>588</v>
      </c>
      <c r="F316" s="11" t="s">
        <v>791</v>
      </c>
      <c r="G316" s="12" t="s">
        <v>792</v>
      </c>
      <c r="I316" s="13" t="str">
        <f>IFERROR(__xludf.DUMMYFUNCTION("if(isblank(A316),,split(A316,""ー""))"),"13-4")</f>
        <v>13-4</v>
      </c>
      <c r="K316" s="13" t="str">
        <f>IFERROR(__xludf.DUMMYFUNCTION("if(isblank(B316),,split(B316,""ー""))"),"13-10")</f>
        <v>13-10</v>
      </c>
    </row>
    <row r="317">
      <c r="A317" s="15" t="s">
        <v>788</v>
      </c>
      <c r="B317" s="16" t="s">
        <v>793</v>
      </c>
      <c r="C317" s="9">
        <v>43909.0</v>
      </c>
      <c r="D317" s="10" t="s">
        <v>790</v>
      </c>
      <c r="E317" s="10" t="s">
        <v>588</v>
      </c>
      <c r="F317" s="11" t="s">
        <v>791</v>
      </c>
      <c r="G317" s="12" t="s">
        <v>792</v>
      </c>
      <c r="I317" s="13" t="str">
        <f>IFERROR(__xludf.DUMMYFUNCTION("if(isblank(A317),,split(A317,""ー""))"),"13-4")</f>
        <v>13-4</v>
      </c>
      <c r="K317" s="13" t="str">
        <f>IFERROR(__xludf.DUMMYFUNCTION("if(isblank(B317),,split(B317,""ー""))"),"13-11")</f>
        <v>13-11</v>
      </c>
    </row>
    <row r="318">
      <c r="A318" s="15" t="s">
        <v>788</v>
      </c>
      <c r="B318" s="16" t="s">
        <v>794</v>
      </c>
      <c r="C318" s="9">
        <v>43909.0</v>
      </c>
      <c r="D318" s="10" t="s">
        <v>790</v>
      </c>
      <c r="E318" s="10" t="s">
        <v>588</v>
      </c>
      <c r="F318" s="11" t="s">
        <v>791</v>
      </c>
      <c r="G318" s="12" t="s">
        <v>792</v>
      </c>
      <c r="I318" s="13" t="str">
        <f>IFERROR(__xludf.DUMMYFUNCTION("if(isblank(A318),,split(A318,""ー""))"),"13-4")</f>
        <v>13-4</v>
      </c>
      <c r="K318" s="13" t="str">
        <f>IFERROR(__xludf.DUMMYFUNCTION("if(isblank(B318),,split(B318,""ー""))"),"13-12")</f>
        <v>13-12</v>
      </c>
    </row>
    <row r="319">
      <c r="A319" s="15" t="s">
        <v>788</v>
      </c>
      <c r="B319" s="16" t="s">
        <v>795</v>
      </c>
      <c r="C319" s="9">
        <v>43909.0</v>
      </c>
      <c r="D319" s="10" t="s">
        <v>790</v>
      </c>
      <c r="E319" s="10" t="s">
        <v>588</v>
      </c>
      <c r="F319" s="11" t="s">
        <v>791</v>
      </c>
      <c r="G319" s="12" t="s">
        <v>792</v>
      </c>
      <c r="I319" s="13" t="str">
        <f>IFERROR(__xludf.DUMMYFUNCTION("if(isblank(A319),,split(A319,""ー""))"),"13-4")</f>
        <v>13-4</v>
      </c>
      <c r="K319" s="13" t="str">
        <f>IFERROR(__xludf.DUMMYFUNCTION("if(isblank(B319),,split(B319,""ー""))"),"13-13")</f>
        <v>13-13</v>
      </c>
    </row>
    <row r="320">
      <c r="A320" s="15" t="s">
        <v>788</v>
      </c>
      <c r="B320" s="16" t="s">
        <v>796</v>
      </c>
      <c r="C320" s="9">
        <v>43909.0</v>
      </c>
      <c r="D320" s="10" t="s">
        <v>790</v>
      </c>
      <c r="E320" s="10" t="s">
        <v>588</v>
      </c>
      <c r="F320" s="11" t="s">
        <v>791</v>
      </c>
      <c r="G320" s="79" t="s">
        <v>797</v>
      </c>
      <c r="I320" s="13" t="str">
        <f>IFERROR(__xludf.DUMMYFUNCTION("if(isblank(A320),,split(A320,""ー""))"),"13-4")</f>
        <v>13-4</v>
      </c>
      <c r="K320" s="13" t="str">
        <f>IFERROR(__xludf.DUMMYFUNCTION("if(isblank(B320),,split(B320,""ー""))"),"13-18")</f>
        <v>13-18</v>
      </c>
    </row>
    <row r="321">
      <c r="A321" s="15" t="s">
        <v>788</v>
      </c>
      <c r="B321" s="16" t="s">
        <v>764</v>
      </c>
      <c r="C321" s="9">
        <v>43909.0</v>
      </c>
      <c r="D321" s="10" t="s">
        <v>790</v>
      </c>
      <c r="E321" s="10" t="s">
        <v>588</v>
      </c>
      <c r="F321" s="11" t="s">
        <v>791</v>
      </c>
      <c r="G321" s="79" t="s">
        <v>798</v>
      </c>
      <c r="I321" s="13" t="str">
        <f>IFERROR(__xludf.DUMMYFUNCTION("if(isblank(A321),,split(A321,""ー""))"),"13-4")</f>
        <v>13-4</v>
      </c>
      <c r="K321" s="13" t="str">
        <f>IFERROR(__xludf.DUMMYFUNCTION("if(isblank(B321),,split(B321,""ー""))"),"13-20")</f>
        <v>13-20</v>
      </c>
    </row>
    <row r="322">
      <c r="A322" s="15" t="s">
        <v>788</v>
      </c>
      <c r="B322" s="16" t="s">
        <v>799</v>
      </c>
      <c r="C322" s="9"/>
      <c r="D322" s="10" t="s">
        <v>800</v>
      </c>
      <c r="E322" s="10" t="s">
        <v>588</v>
      </c>
      <c r="F322" s="11" t="s">
        <v>791</v>
      </c>
      <c r="G322" s="12" t="s">
        <v>801</v>
      </c>
      <c r="I322" s="13" t="str">
        <f>IFERROR(__xludf.DUMMYFUNCTION("if(isblank(A322),,split(A322,""ー""))"),"13-4")</f>
        <v>13-4</v>
      </c>
      <c r="K322" s="13" t="str">
        <f>IFERROR(__xludf.DUMMYFUNCTION("if(isblank(B322),,split(B322,""ー""))"),"13-5")</f>
        <v>13-5</v>
      </c>
    </row>
    <row r="323">
      <c r="A323" s="15" t="s">
        <v>788</v>
      </c>
      <c r="B323" s="16" t="s">
        <v>802</v>
      </c>
      <c r="C323" s="9">
        <v>43909.0</v>
      </c>
      <c r="D323" s="10" t="s">
        <v>790</v>
      </c>
      <c r="E323" s="10" t="s">
        <v>588</v>
      </c>
      <c r="F323" s="11" t="s">
        <v>791</v>
      </c>
      <c r="G323" s="12" t="s">
        <v>803</v>
      </c>
      <c r="I323" s="13" t="str">
        <f>IFERROR(__xludf.DUMMYFUNCTION("if(isblank(A323),,split(A323,""ー""))"),"13-4")</f>
        <v>13-4</v>
      </c>
      <c r="K323" s="13" t="str">
        <f>IFERROR(__xludf.DUMMYFUNCTION("if(isblank(B323),,split(B323,""ー""))"),"13-6")</f>
        <v>13-6</v>
      </c>
    </row>
    <row r="324">
      <c r="A324" s="15" t="s">
        <v>788</v>
      </c>
      <c r="B324" s="16" t="s">
        <v>804</v>
      </c>
      <c r="C324" s="9">
        <v>43909.0</v>
      </c>
      <c r="D324" s="10" t="s">
        <v>790</v>
      </c>
      <c r="E324" s="10" t="s">
        <v>588</v>
      </c>
      <c r="F324" s="11" t="s">
        <v>791</v>
      </c>
      <c r="G324" s="12" t="s">
        <v>792</v>
      </c>
      <c r="I324" s="13" t="str">
        <f>IFERROR(__xludf.DUMMYFUNCTION("if(isblank(A324),,split(A324,""ー""))"),"13-4")</f>
        <v>13-4</v>
      </c>
      <c r="K324" s="13" t="str">
        <f>IFERROR(__xludf.DUMMYFUNCTION("if(isblank(B324),,split(B324,""ー""))"),"13-7")</f>
        <v>13-7</v>
      </c>
    </row>
    <row r="325">
      <c r="A325" s="15" t="s">
        <v>788</v>
      </c>
      <c r="B325" s="16" t="s">
        <v>805</v>
      </c>
      <c r="C325" s="9">
        <v>43909.0</v>
      </c>
      <c r="D325" s="10" t="s">
        <v>790</v>
      </c>
      <c r="E325" s="10" t="s">
        <v>588</v>
      </c>
      <c r="F325" s="11" t="s">
        <v>791</v>
      </c>
      <c r="G325" s="12" t="s">
        <v>792</v>
      </c>
      <c r="I325" s="13" t="str">
        <f>IFERROR(__xludf.DUMMYFUNCTION("if(isblank(A325),,split(A325,""ー""))"),"13-4")</f>
        <v>13-4</v>
      </c>
      <c r="K325" s="13" t="str">
        <f>IFERROR(__xludf.DUMMYFUNCTION("if(isblank(B325),,split(B325,""ー""))"),"13-8")</f>
        <v>13-8</v>
      </c>
    </row>
    <row r="326">
      <c r="A326" s="80" t="s">
        <v>788</v>
      </c>
      <c r="B326" s="16" t="s">
        <v>806</v>
      </c>
      <c r="C326" s="9">
        <v>43909.0</v>
      </c>
      <c r="D326" s="10" t="s">
        <v>790</v>
      </c>
      <c r="E326" s="10" t="s">
        <v>588</v>
      </c>
      <c r="F326" s="11" t="s">
        <v>791</v>
      </c>
      <c r="G326" s="12" t="s">
        <v>792</v>
      </c>
      <c r="I326" s="13" t="str">
        <f>IFERROR(__xludf.DUMMYFUNCTION("if(isblank(A326),,split(A326,""ー""))"),"13-4")</f>
        <v>13-4</v>
      </c>
      <c r="K326" s="13" t="str">
        <f>IFERROR(__xludf.DUMMYFUNCTION("if(isblank(B326),,split(B326,""ー""))"),"13-9")</f>
        <v>13-9</v>
      </c>
    </row>
    <row r="327">
      <c r="A327" s="15" t="s">
        <v>807</v>
      </c>
      <c r="B327" s="16" t="s">
        <v>808</v>
      </c>
      <c r="C327" s="9"/>
      <c r="D327" s="10" t="s">
        <v>47</v>
      </c>
      <c r="E327" s="10" t="s">
        <v>588</v>
      </c>
      <c r="F327" s="11" t="s">
        <v>809</v>
      </c>
      <c r="G327" s="12" t="s">
        <v>810</v>
      </c>
      <c r="I327" s="13" t="str">
        <f>IFERROR(__xludf.DUMMYFUNCTION("if(isblank(A327),,split(A327,""ー""))"),"13-40")</f>
        <v>13-40</v>
      </c>
      <c r="K327" s="13" t="str">
        <f>IFERROR(__xludf.DUMMYFUNCTION("if(isblank(B327),,split(B327,""ー""))"),"13-46")</f>
        <v>13-46</v>
      </c>
    </row>
    <row r="328">
      <c r="A328" s="15" t="s">
        <v>811</v>
      </c>
      <c r="B328" s="16" t="s">
        <v>812</v>
      </c>
      <c r="C328" s="9">
        <v>43876.0</v>
      </c>
      <c r="D328" s="10" t="s">
        <v>36</v>
      </c>
      <c r="E328" s="10" t="s">
        <v>588</v>
      </c>
      <c r="F328" s="11" t="s">
        <v>813</v>
      </c>
      <c r="G328" s="12" t="s">
        <v>814</v>
      </c>
      <c r="I328" s="13" t="str">
        <f>IFERROR(__xludf.DUMMYFUNCTION("if(isblank(A328),,split(A328,""ー""))"),"13-42")</f>
        <v>13-42</v>
      </c>
      <c r="K328" s="13" t="str">
        <f>IFERROR(__xludf.DUMMYFUNCTION("if(isblank(B328),,split(B328,""ー""))"),"39-1")</f>
        <v>39-1</v>
      </c>
    </row>
    <row r="329">
      <c r="A329" s="15" t="s">
        <v>815</v>
      </c>
      <c r="B329" s="16" t="s">
        <v>812</v>
      </c>
      <c r="C329" s="9">
        <v>43876.0</v>
      </c>
      <c r="D329" s="10" t="s">
        <v>36</v>
      </c>
      <c r="E329" s="10" t="s">
        <v>588</v>
      </c>
      <c r="F329" s="11" t="s">
        <v>813</v>
      </c>
      <c r="G329" s="12" t="s">
        <v>816</v>
      </c>
      <c r="I329" s="13" t="str">
        <f>IFERROR(__xludf.DUMMYFUNCTION("if(isblank(A329),,split(A329,""ー""))"),"13-44")</f>
        <v>13-44</v>
      </c>
      <c r="K329" s="13" t="str">
        <f>IFERROR(__xludf.DUMMYFUNCTION("if(isblank(B329),,split(B329,""ー""))"),"39-1")</f>
        <v>39-1</v>
      </c>
    </row>
    <row r="330">
      <c r="A330" s="15" t="s">
        <v>817</v>
      </c>
      <c r="B330" s="16" t="s">
        <v>808</v>
      </c>
      <c r="C330" s="9"/>
      <c r="D330" s="10" t="s">
        <v>818</v>
      </c>
      <c r="E330" s="10" t="s">
        <v>588</v>
      </c>
      <c r="F330" s="11" t="s">
        <v>809</v>
      </c>
      <c r="G330" s="12" t="s">
        <v>810</v>
      </c>
      <c r="I330" s="13" t="str">
        <f>IFERROR(__xludf.DUMMYFUNCTION("if(isblank(A330),,split(A330,""ー""))"),"13-45")</f>
        <v>13-45</v>
      </c>
      <c r="K330" s="13" t="str">
        <f>IFERROR(__xludf.DUMMYFUNCTION("if(isblank(B330),,split(B330,""ー""))"),"13-46")</f>
        <v>13-46</v>
      </c>
    </row>
    <row r="331">
      <c r="A331" s="15" t="s">
        <v>808</v>
      </c>
      <c r="B331" s="16" t="s">
        <v>819</v>
      </c>
      <c r="C331" s="9"/>
      <c r="D331" s="10" t="s">
        <v>39</v>
      </c>
      <c r="E331" s="10" t="s">
        <v>588</v>
      </c>
      <c r="F331" s="11" t="s">
        <v>809</v>
      </c>
      <c r="G331" s="12" t="s">
        <v>810</v>
      </c>
      <c r="I331" s="13" t="str">
        <f>IFERROR(__xludf.DUMMYFUNCTION("if(isblank(A331),,split(A331,""ー""))"),"13-46")</f>
        <v>13-46</v>
      </c>
      <c r="K331" s="13" t="str">
        <f>IFERROR(__xludf.DUMMYFUNCTION("if(isblank(B331),,split(B331,""ー""))"),"13-47")</f>
        <v>13-47</v>
      </c>
    </row>
    <row r="332">
      <c r="A332" s="15" t="s">
        <v>820</v>
      </c>
      <c r="B332" s="16" t="s">
        <v>812</v>
      </c>
      <c r="C332" s="9">
        <v>43876.0</v>
      </c>
      <c r="D332" s="10" t="s">
        <v>36</v>
      </c>
      <c r="E332" s="10" t="s">
        <v>588</v>
      </c>
      <c r="F332" s="11" t="s">
        <v>813</v>
      </c>
      <c r="G332" s="12" t="s">
        <v>821</v>
      </c>
      <c r="I332" s="13" t="str">
        <f>IFERROR(__xludf.DUMMYFUNCTION("if(isblank(A332),,split(A332,""ー""))"),"13-61")</f>
        <v>13-61</v>
      </c>
      <c r="K332" s="13" t="str">
        <f>IFERROR(__xludf.DUMMYFUNCTION("if(isblank(B332),,split(B332,""ー""))"),"39-1")</f>
        <v>39-1</v>
      </c>
    </row>
    <row r="333">
      <c r="A333" s="15" t="s">
        <v>822</v>
      </c>
      <c r="B333" s="81" t="s">
        <v>438</v>
      </c>
      <c r="C333" s="82">
        <v>43884.0</v>
      </c>
      <c r="D333" s="17" t="s">
        <v>282</v>
      </c>
      <c r="E333" s="66" t="s">
        <v>36</v>
      </c>
      <c r="F333" s="29" t="s">
        <v>283</v>
      </c>
      <c r="G333" s="44" t="s">
        <v>823</v>
      </c>
      <c r="I333" s="13" t="str">
        <f>IFERROR(__xludf.DUMMYFUNCTION("if(isblank(A333),,split(A333,""ー""))"),"13-74")</f>
        <v>13-74</v>
      </c>
      <c r="K333" s="38">
        <f>IFERROR(__xludf.DUMMYFUNCTION("if(isblank(B333),,split(B333,""ー""))"),44153.0)</f>
        <v>44153</v>
      </c>
    </row>
    <row r="334">
      <c r="A334" s="15" t="s">
        <v>805</v>
      </c>
      <c r="B334" s="16" t="s">
        <v>751</v>
      </c>
      <c r="C334" s="9"/>
      <c r="D334" s="10" t="s">
        <v>824</v>
      </c>
      <c r="E334" s="10" t="s">
        <v>588</v>
      </c>
      <c r="F334" s="11" t="s">
        <v>825</v>
      </c>
      <c r="G334" s="12" t="s">
        <v>826</v>
      </c>
      <c r="I334" s="13" t="str">
        <f>IFERROR(__xludf.DUMMYFUNCTION("if(isblank(A334),,split(A334,""ー""))"),"13-8")</f>
        <v>13-8</v>
      </c>
      <c r="K334" s="13" t="str">
        <f>IFERROR(__xludf.DUMMYFUNCTION("if(isblank(B334),,split(B334,""ー""))"),"13-17")</f>
        <v>13-17</v>
      </c>
    </row>
    <row r="335">
      <c r="A335" s="15" t="s">
        <v>827</v>
      </c>
      <c r="B335" s="16" t="s">
        <v>828</v>
      </c>
      <c r="C335" s="9"/>
      <c r="D335" s="10" t="s">
        <v>36</v>
      </c>
      <c r="E335" s="10" t="s">
        <v>829</v>
      </c>
      <c r="F335" s="11" t="s">
        <v>36</v>
      </c>
      <c r="G335" s="44" t="s">
        <v>830</v>
      </c>
      <c r="I335" s="13" t="str">
        <f>IFERROR(__xludf.DUMMYFUNCTION("if(isblank(A335),,split(A335,""ー""))"),"14-100")</f>
        <v>14-100</v>
      </c>
      <c r="K335" s="13" t="str">
        <f>IFERROR(__xludf.DUMMYFUNCTION("if(isblank(B335),,split(B335,""ー""))"),"14-101")</f>
        <v>14-101</v>
      </c>
    </row>
    <row r="336">
      <c r="A336" s="15" t="s">
        <v>827</v>
      </c>
      <c r="B336" s="16" t="s">
        <v>831</v>
      </c>
      <c r="C336" s="9">
        <v>43910.0</v>
      </c>
      <c r="D336" s="10" t="s">
        <v>273</v>
      </c>
      <c r="E336" s="10" t="s">
        <v>829</v>
      </c>
      <c r="F336" s="11" t="s">
        <v>36</v>
      </c>
      <c r="G336" s="44" t="s">
        <v>832</v>
      </c>
      <c r="I336" s="13" t="str">
        <f>IFERROR(__xludf.DUMMYFUNCTION("if(isblank(A336),,split(A336,""ー""))"),"14-100")</f>
        <v>14-100</v>
      </c>
      <c r="K336" s="13" t="str">
        <f>IFERROR(__xludf.DUMMYFUNCTION("if(isblank(B336),,split(B336,""ー""))"),"14-125")</f>
        <v>14-125</v>
      </c>
    </row>
    <row r="337">
      <c r="A337" s="15" t="s">
        <v>827</v>
      </c>
      <c r="B337" s="16" t="s">
        <v>833</v>
      </c>
      <c r="C337" s="9"/>
      <c r="D337" s="10" t="s">
        <v>36</v>
      </c>
      <c r="E337" s="10" t="s">
        <v>829</v>
      </c>
      <c r="F337" s="11" t="s">
        <v>36</v>
      </c>
      <c r="G337" s="12" t="s">
        <v>834</v>
      </c>
      <c r="I337" s="13" t="str">
        <f>IFERROR(__xludf.DUMMYFUNCTION("if(isblank(A337),,split(A337,""ー""))"),"14-100")</f>
        <v>14-100</v>
      </c>
      <c r="K337" s="13" t="str">
        <f>IFERROR(__xludf.DUMMYFUNCTION("if(isblank(B337),,split(B337,""ー""))"),"14-153")</f>
        <v>14-153</v>
      </c>
    </row>
    <row r="338">
      <c r="A338" s="15" t="s">
        <v>827</v>
      </c>
      <c r="B338" s="83" t="s">
        <v>36</v>
      </c>
      <c r="C338" s="9"/>
      <c r="D338" s="10" t="s">
        <v>36</v>
      </c>
      <c r="E338" s="10" t="s">
        <v>829</v>
      </c>
      <c r="F338" s="11" t="s">
        <v>36</v>
      </c>
      <c r="G338" s="44" t="s">
        <v>830</v>
      </c>
      <c r="I338" s="13" t="str">
        <f>IFERROR(__xludf.DUMMYFUNCTION("if(isblank(A338),,split(A338,""ー""))"),"14-100")</f>
        <v>14-100</v>
      </c>
      <c r="K338" s="13" t="str">
        <f>IFERROR(__xludf.DUMMYFUNCTION("if(isblank(B338),,split(B338,""ー""))"),"NA")</f>
        <v>NA</v>
      </c>
    </row>
    <row r="339">
      <c r="A339" s="15" t="s">
        <v>835</v>
      </c>
      <c r="B339" s="16" t="s">
        <v>682</v>
      </c>
      <c r="C339" s="9"/>
      <c r="D339" s="10" t="s">
        <v>36</v>
      </c>
      <c r="E339" s="10" t="s">
        <v>829</v>
      </c>
      <c r="F339" s="11" t="s">
        <v>36</v>
      </c>
      <c r="G339" s="44" t="s">
        <v>836</v>
      </c>
      <c r="I339" s="13" t="str">
        <f>IFERROR(__xludf.DUMMYFUNCTION("if(isblank(A339),,split(A339,""ー""))"),"14-103")</f>
        <v>14-103</v>
      </c>
      <c r="K339" s="13" t="str">
        <f>IFERROR(__xludf.DUMMYFUNCTION("if(isblank(B339),,split(B339,""ー""))"),"11-86")</f>
        <v>11-86</v>
      </c>
    </row>
    <row r="340">
      <c r="A340" s="15" t="s">
        <v>837</v>
      </c>
      <c r="B340" s="16" t="s">
        <v>838</v>
      </c>
      <c r="C340" s="9"/>
      <c r="D340" s="10" t="s">
        <v>308</v>
      </c>
      <c r="E340" s="10" t="s">
        <v>829</v>
      </c>
      <c r="F340" s="11" t="s">
        <v>839</v>
      </c>
      <c r="G340" s="12" t="s">
        <v>840</v>
      </c>
      <c r="I340" s="13" t="str">
        <f>IFERROR(__xludf.DUMMYFUNCTION("if(isblank(A340),,split(A340,""ー""))"),"14-105")</f>
        <v>14-105</v>
      </c>
      <c r="K340" s="13" t="str">
        <f>IFERROR(__xludf.DUMMYFUNCTION("if(isblank(B340),,split(B340,""ー""))"),"14-147")</f>
        <v>14-147</v>
      </c>
    </row>
    <row r="341">
      <c r="A341" s="15" t="s">
        <v>837</v>
      </c>
      <c r="B341" s="16" t="s">
        <v>841</v>
      </c>
      <c r="C341" s="9"/>
      <c r="D341" s="10" t="s">
        <v>308</v>
      </c>
      <c r="E341" s="10" t="s">
        <v>829</v>
      </c>
      <c r="F341" s="11" t="s">
        <v>839</v>
      </c>
      <c r="G341" s="12" t="s">
        <v>840</v>
      </c>
      <c r="I341" s="13" t="str">
        <f>IFERROR(__xludf.DUMMYFUNCTION("if(isblank(A341),,split(A341,""ー""))"),"14-105")</f>
        <v>14-105</v>
      </c>
      <c r="K341" s="13" t="str">
        <f>IFERROR(__xludf.DUMMYFUNCTION("if(isblank(B341),,split(B341,""ー""))"),"14-148")</f>
        <v>14-148</v>
      </c>
    </row>
    <row r="342">
      <c r="A342" s="15" t="s">
        <v>837</v>
      </c>
      <c r="B342" s="41" t="s">
        <v>36</v>
      </c>
      <c r="C342" s="9"/>
      <c r="D342" s="10" t="s">
        <v>36</v>
      </c>
      <c r="E342" s="10" t="s">
        <v>829</v>
      </c>
      <c r="F342" s="11" t="s">
        <v>839</v>
      </c>
      <c r="G342" s="44" t="s">
        <v>842</v>
      </c>
      <c r="I342" s="13" t="str">
        <f>IFERROR(__xludf.DUMMYFUNCTION("if(isblank(A342),,split(A342,""ー""))"),"14-105")</f>
        <v>14-105</v>
      </c>
      <c r="K342" s="13" t="str">
        <f>IFERROR(__xludf.DUMMYFUNCTION("if(isblank(B342),,split(B342,""ー""))"),"NA")</f>
        <v>NA</v>
      </c>
    </row>
    <row r="343">
      <c r="A343" s="15" t="s">
        <v>843</v>
      </c>
      <c r="B343" s="16" t="s">
        <v>844</v>
      </c>
      <c r="C343" s="9"/>
      <c r="D343" s="10" t="s">
        <v>36</v>
      </c>
      <c r="E343" s="10" t="s">
        <v>829</v>
      </c>
      <c r="F343" s="11" t="s">
        <v>36</v>
      </c>
      <c r="G343" s="12" t="s">
        <v>845</v>
      </c>
      <c r="I343" s="13" t="str">
        <f>IFERROR(__xludf.DUMMYFUNCTION("if(isblank(A343),,split(A343,""ー""))"),"14-119")</f>
        <v>14-119</v>
      </c>
      <c r="K343" s="13" t="str">
        <f>IFERROR(__xludf.DUMMYFUNCTION("if(isblank(B343),,split(B343,""ー""))"),"14-139")</f>
        <v>14-139</v>
      </c>
    </row>
    <row r="344">
      <c r="A344" s="15" t="s">
        <v>846</v>
      </c>
      <c r="B344" s="16" t="s">
        <v>847</v>
      </c>
      <c r="C344" s="9"/>
      <c r="D344" s="10" t="s">
        <v>165</v>
      </c>
      <c r="E344" s="10" t="s">
        <v>829</v>
      </c>
      <c r="F344" s="11" t="s">
        <v>848</v>
      </c>
      <c r="G344" s="44" t="s">
        <v>849</v>
      </c>
      <c r="I344" s="13" t="str">
        <f>IFERROR(__xludf.DUMMYFUNCTION("if(isblank(A344),,split(A344,""ー""))"),"14-126")</f>
        <v>14-126</v>
      </c>
      <c r="K344" s="13" t="str">
        <f>IFERROR(__xludf.DUMMYFUNCTION("if(isblank(B344),,split(B344,""ー""))"),"14-127")</f>
        <v>14-127</v>
      </c>
    </row>
    <row r="345">
      <c r="A345" s="15" t="s">
        <v>850</v>
      </c>
      <c r="B345" s="16" t="s">
        <v>851</v>
      </c>
      <c r="C345" s="9"/>
      <c r="D345" s="10" t="s">
        <v>36</v>
      </c>
      <c r="E345" s="10" t="s">
        <v>829</v>
      </c>
      <c r="F345" s="11" t="s">
        <v>36</v>
      </c>
      <c r="G345" s="12" t="s">
        <v>834</v>
      </c>
      <c r="I345" s="13" t="str">
        <f>IFERROR(__xludf.DUMMYFUNCTION("if(isblank(A345),,split(A345,""ー""))"),"14-138")</f>
        <v>14-138</v>
      </c>
      <c r="K345" s="13" t="str">
        <f>IFERROR(__xludf.DUMMYFUNCTION("if(isblank(B345),,split(B345,""ー""))"),"14-158")</f>
        <v>14-158</v>
      </c>
    </row>
    <row r="346">
      <c r="A346" s="15" t="s">
        <v>850</v>
      </c>
      <c r="B346" s="16" t="s">
        <v>852</v>
      </c>
      <c r="C346" s="9"/>
      <c r="D346" s="10" t="s">
        <v>36</v>
      </c>
      <c r="E346" s="10" t="s">
        <v>829</v>
      </c>
      <c r="F346" s="11" t="s">
        <v>36</v>
      </c>
      <c r="G346" s="12" t="s">
        <v>834</v>
      </c>
      <c r="I346" s="13" t="str">
        <f>IFERROR(__xludf.DUMMYFUNCTION("if(isblank(A346),,split(A346,""ー""))"),"14-138")</f>
        <v>14-138</v>
      </c>
      <c r="K346" s="13" t="str">
        <f>IFERROR(__xludf.DUMMYFUNCTION("if(isblank(B346),,split(B346,""ー""))"),"14-159")</f>
        <v>14-159</v>
      </c>
    </row>
    <row r="347">
      <c r="A347" s="70" t="s">
        <v>850</v>
      </c>
      <c r="B347" s="16" t="s">
        <v>853</v>
      </c>
      <c r="C347" s="72"/>
      <c r="D347" s="66" t="s">
        <v>36</v>
      </c>
      <c r="E347" s="55" t="s">
        <v>829</v>
      </c>
      <c r="F347" s="84" t="s">
        <v>36</v>
      </c>
      <c r="G347" s="85" t="s">
        <v>834</v>
      </c>
      <c r="H347" s="4"/>
      <c r="I347" s="13" t="str">
        <f>IFERROR(__xludf.DUMMYFUNCTION("if(isblank(A347),,split(A347,""ー""))"),"14-138")</f>
        <v>14-138</v>
      </c>
      <c r="K347" s="13" t="str">
        <f>IFERROR(__xludf.DUMMYFUNCTION("if(isblank(B347),,split(B347,""ー""))"),"14-160")</f>
        <v>14-160</v>
      </c>
    </row>
    <row r="348">
      <c r="A348" s="70" t="s">
        <v>850</v>
      </c>
      <c r="B348" s="16" t="s">
        <v>854</v>
      </c>
      <c r="C348" s="72"/>
      <c r="D348" s="66" t="s">
        <v>36</v>
      </c>
      <c r="E348" s="55" t="s">
        <v>829</v>
      </c>
      <c r="F348" s="84" t="s">
        <v>36</v>
      </c>
      <c r="G348" s="85" t="s">
        <v>834</v>
      </c>
      <c r="I348" s="13" t="str">
        <f>IFERROR(__xludf.DUMMYFUNCTION("if(isblank(A348),,split(A348,""ー""))"),"14-138")</f>
        <v>14-138</v>
      </c>
      <c r="K348" s="13" t="str">
        <f>IFERROR(__xludf.DUMMYFUNCTION("if(isblank(B348),,split(B348,""ー""))"),"14-161")</f>
        <v>14-161</v>
      </c>
    </row>
    <row r="349">
      <c r="A349" s="15" t="s">
        <v>855</v>
      </c>
      <c r="B349" s="16" t="s">
        <v>856</v>
      </c>
      <c r="C349" s="9"/>
      <c r="D349" s="10" t="s">
        <v>36</v>
      </c>
      <c r="E349" s="10" t="s">
        <v>829</v>
      </c>
      <c r="F349" s="11" t="s">
        <v>857</v>
      </c>
      <c r="G349" s="12" t="s">
        <v>840</v>
      </c>
      <c r="I349" s="13" t="str">
        <f>IFERROR(__xludf.DUMMYFUNCTION("if(isblank(A349),,split(A349,""ー""))"),"14-145")</f>
        <v>14-145</v>
      </c>
      <c r="K349" s="13" t="str">
        <f>IFERROR(__xludf.DUMMYFUNCTION("if(isblank(B349),,split(B349,""ー""))"),"14-146")</f>
        <v>14-146</v>
      </c>
    </row>
    <row r="350">
      <c r="A350" s="15" t="s">
        <v>858</v>
      </c>
      <c r="B350" s="8" t="s">
        <v>36</v>
      </c>
      <c r="C350" s="9"/>
      <c r="D350" s="10" t="s">
        <v>36</v>
      </c>
      <c r="E350" s="10" t="s">
        <v>829</v>
      </c>
      <c r="F350" s="11" t="s">
        <v>36</v>
      </c>
      <c r="G350" s="12" t="s">
        <v>840</v>
      </c>
      <c r="I350" s="13" t="str">
        <f>IFERROR(__xludf.DUMMYFUNCTION("if(isblank(A350),,split(A350,""ー""))"),"14-149")</f>
        <v>14-149</v>
      </c>
      <c r="K350" s="13" t="str">
        <f>IFERROR(__xludf.DUMMYFUNCTION("if(isblank(B350),,split(B350,""ー""))"),"NA")</f>
        <v>NA</v>
      </c>
    </row>
    <row r="351">
      <c r="A351" s="15" t="s">
        <v>859</v>
      </c>
      <c r="B351" s="41" t="s">
        <v>860</v>
      </c>
      <c r="C351" s="9"/>
      <c r="D351" s="10" t="s">
        <v>308</v>
      </c>
      <c r="E351" s="10" t="s">
        <v>829</v>
      </c>
      <c r="F351" s="11" t="s">
        <v>36</v>
      </c>
      <c r="G351" s="12" t="s">
        <v>840</v>
      </c>
      <c r="I351" s="13" t="str">
        <f>IFERROR(__xludf.DUMMYFUNCTION("if(isblank(A351),,split(A351,""ー""))"),"14-150")</f>
        <v>14-150</v>
      </c>
      <c r="K351" s="13" t="str">
        <f>IFERROR(__xludf.DUMMYFUNCTION("if(isblank(B351),,split(B351,""ー""))"),"３月２８日（土）に新型コロナウイルス陽性が判明した患者の家族 ")</f>
        <v>３月２８日（土）に新型コロナウイルス陽性が判明した患者の家族 </v>
      </c>
    </row>
    <row r="352">
      <c r="A352" s="15" t="s">
        <v>833</v>
      </c>
      <c r="B352" s="16" t="s">
        <v>861</v>
      </c>
      <c r="C352" s="9"/>
      <c r="D352" s="10" t="s">
        <v>165</v>
      </c>
      <c r="E352" s="55" t="s">
        <v>829</v>
      </c>
      <c r="F352" s="11" t="s">
        <v>862</v>
      </c>
      <c r="G352" s="12" t="s">
        <v>863</v>
      </c>
      <c r="I352" s="13" t="str">
        <f>IFERROR(__xludf.DUMMYFUNCTION("if(isblank(A352),,split(A352,""ー""))"),"14-153")</f>
        <v>14-153</v>
      </c>
      <c r="K352" s="13" t="str">
        <f>IFERROR(__xludf.DUMMYFUNCTION("if(isblank(B352),,split(B352,""ー""))"),"14-164")</f>
        <v>14-164</v>
      </c>
    </row>
    <row r="353">
      <c r="A353" s="15" t="s">
        <v>864</v>
      </c>
      <c r="B353" s="41" t="s">
        <v>860</v>
      </c>
      <c r="C353" s="9"/>
      <c r="D353" s="10" t="s">
        <v>308</v>
      </c>
      <c r="E353" s="55" t="s">
        <v>829</v>
      </c>
      <c r="F353" s="11" t="s">
        <v>36</v>
      </c>
      <c r="G353" s="12" t="s">
        <v>865</v>
      </c>
      <c r="I353" s="13" t="str">
        <f>IFERROR(__xludf.DUMMYFUNCTION("if(isblank(A353),,split(A353,""ー""))"),"14-170")</f>
        <v>14-170</v>
      </c>
      <c r="K353" s="13" t="str">
        <f>IFERROR(__xludf.DUMMYFUNCTION("if(isblank(B353),,split(B353,""ー""))"),"３月２８日（土）に新型コロナウイルス陽性が判明した患者の家族 ")</f>
        <v>３月２８日（土）に新型コロナウイルス陽性が判明した患者の家族 </v>
      </c>
    </row>
    <row r="354">
      <c r="A354" s="15" t="s">
        <v>864</v>
      </c>
      <c r="B354" s="41" t="s">
        <v>866</v>
      </c>
      <c r="C354" s="9"/>
      <c r="D354" s="10" t="s">
        <v>308</v>
      </c>
      <c r="E354" s="55" t="s">
        <v>829</v>
      </c>
      <c r="F354" s="11" t="s">
        <v>36</v>
      </c>
      <c r="G354" s="12" t="s">
        <v>865</v>
      </c>
      <c r="I354" s="13" t="str">
        <f>IFERROR(__xludf.DUMMYFUNCTION("if(isblank(A354),,split(A354,""ー""))"),"14-170")</f>
        <v>14-170</v>
      </c>
      <c r="K354" s="13" t="str">
        <f>IFERROR(__xludf.DUMMYFUNCTION("if(isblank(B354),,split(B354,""ー""))"),"３月３１日（火）に発表した新型コロナウイルス陽性患者（３月３０日判明）の家族 ")</f>
        <v>３月３１日（火）に発表した新型コロナウイルス陽性患者（３月３０日判明）の家族 </v>
      </c>
    </row>
    <row r="355">
      <c r="A355" s="15" t="s">
        <v>867</v>
      </c>
      <c r="B355" s="41" t="s">
        <v>868</v>
      </c>
      <c r="C355" s="9"/>
      <c r="D355" s="66" t="s">
        <v>36</v>
      </c>
      <c r="E355" s="55" t="s">
        <v>829</v>
      </c>
      <c r="F355" s="84" t="s">
        <v>36</v>
      </c>
      <c r="G355" s="12" t="s">
        <v>865</v>
      </c>
      <c r="I355" s="13" t="str">
        <f>IFERROR(__xludf.DUMMYFUNCTION("if(isblank(A355),,split(A355,""ー""))"),"14-173")</f>
        <v>14-173</v>
      </c>
      <c r="K355" s="13" t="str">
        <f>IFERROR(__xludf.DUMMYFUNCTION("if(isblank(B355),,split(B355,""ー""))"),"４月１日（水）に発表した新型コロナウイルス陽性患者（３月３１日判明）の接触者")</f>
        <v>４月１日（水）に発表した新型コロナウイルス陽性患者（３月３１日判明）の接触者</v>
      </c>
    </row>
    <row r="356">
      <c r="A356" s="15" t="s">
        <v>869</v>
      </c>
      <c r="B356" s="81" t="s">
        <v>438</v>
      </c>
      <c r="C356" s="82">
        <v>43884.0</v>
      </c>
      <c r="D356" s="17" t="s">
        <v>282</v>
      </c>
      <c r="E356" s="66" t="s">
        <v>36</v>
      </c>
      <c r="F356" s="29" t="s">
        <v>283</v>
      </c>
      <c r="G356" s="44" t="s">
        <v>870</v>
      </c>
      <c r="I356" s="13" t="str">
        <f>IFERROR(__xludf.DUMMYFUNCTION("if(isblank(A356),,split(A356,""ー""))"),"14-51")</f>
        <v>14-51</v>
      </c>
      <c r="K356" s="38">
        <f>IFERROR(__xludf.DUMMYFUNCTION("if(isblank(B356),,split(B356,""ー""))"),44153.0)</f>
        <v>44153</v>
      </c>
    </row>
    <row r="357">
      <c r="A357" s="15" t="s">
        <v>871</v>
      </c>
      <c r="B357" s="81" t="s">
        <v>438</v>
      </c>
      <c r="C357" s="82">
        <v>43884.0</v>
      </c>
      <c r="D357" s="17" t="s">
        <v>282</v>
      </c>
      <c r="E357" s="66" t="s">
        <v>36</v>
      </c>
      <c r="F357" s="29" t="s">
        <v>283</v>
      </c>
      <c r="G357" s="44" t="s">
        <v>872</v>
      </c>
      <c r="I357" s="13" t="str">
        <f>IFERROR(__xludf.DUMMYFUNCTION("if(isblank(A357),,split(A357,""ー""))"),"14-56")</f>
        <v>14-56</v>
      </c>
      <c r="K357" s="38">
        <f>IFERROR(__xludf.DUMMYFUNCTION("if(isblank(B357),,split(B357,""ー""))"),44153.0)</f>
        <v>44153</v>
      </c>
    </row>
    <row r="358">
      <c r="A358" s="15" t="s">
        <v>871</v>
      </c>
      <c r="B358" s="16" t="s">
        <v>873</v>
      </c>
      <c r="C358" s="9"/>
      <c r="D358" s="10" t="s">
        <v>874</v>
      </c>
      <c r="E358" s="10" t="s">
        <v>829</v>
      </c>
      <c r="F358" s="11" t="s">
        <v>875</v>
      </c>
      <c r="G358" s="12" t="s">
        <v>876</v>
      </c>
      <c r="I358" s="13" t="str">
        <f>IFERROR(__xludf.DUMMYFUNCTION("if(isblank(A358),,split(A358,""ー""))"),"14-56")</f>
        <v>14-56</v>
      </c>
      <c r="K358" s="13" t="str">
        <f>IFERROR(__xludf.DUMMYFUNCTION("if(isblank(B358),,split(B358,""ー""))"),"14-62")</f>
        <v>14-62</v>
      </c>
    </row>
    <row r="359">
      <c r="A359" s="15" t="s">
        <v>871</v>
      </c>
      <c r="B359" s="16" t="s">
        <v>877</v>
      </c>
      <c r="C359" s="9"/>
      <c r="D359" s="10" t="s">
        <v>874</v>
      </c>
      <c r="E359" s="10" t="s">
        <v>829</v>
      </c>
      <c r="F359" s="11" t="s">
        <v>875</v>
      </c>
      <c r="G359" s="12" t="s">
        <v>876</v>
      </c>
      <c r="I359" s="13" t="str">
        <f>IFERROR(__xludf.DUMMYFUNCTION("if(isblank(A359),,split(A359,""ー""))"),"14-56")</f>
        <v>14-56</v>
      </c>
      <c r="K359" s="13" t="str">
        <f>IFERROR(__xludf.DUMMYFUNCTION("if(isblank(B359),,split(B359,""ー""))"),"14-69")</f>
        <v>14-69</v>
      </c>
    </row>
    <row r="360">
      <c r="A360" s="15" t="s">
        <v>873</v>
      </c>
      <c r="B360" s="16" t="s">
        <v>878</v>
      </c>
      <c r="C360" s="9"/>
      <c r="D360" s="10" t="s">
        <v>36</v>
      </c>
      <c r="E360" s="10" t="s">
        <v>829</v>
      </c>
      <c r="F360" s="11" t="s">
        <v>36</v>
      </c>
      <c r="G360" s="44" t="s">
        <v>879</v>
      </c>
      <c r="I360" s="13" t="str">
        <f>IFERROR(__xludf.DUMMYFUNCTION("if(isblank(A360),,split(A360,""ー""))"),"14-62")</f>
        <v>14-62</v>
      </c>
      <c r="K360" s="13" t="str">
        <f>IFERROR(__xludf.DUMMYFUNCTION("if(isblank(B360),,split(B360,""ー""))"),"14-92")</f>
        <v>14-92</v>
      </c>
    </row>
    <row r="361">
      <c r="A361" s="15" t="s">
        <v>880</v>
      </c>
      <c r="B361" s="16" t="s">
        <v>881</v>
      </c>
      <c r="C361" s="9"/>
      <c r="D361" s="10" t="s">
        <v>882</v>
      </c>
      <c r="E361" s="10" t="s">
        <v>829</v>
      </c>
      <c r="F361" s="11" t="s">
        <v>883</v>
      </c>
      <c r="G361" s="12" t="s">
        <v>884</v>
      </c>
      <c r="I361" s="13" t="str">
        <f>IFERROR(__xludf.DUMMYFUNCTION("if(isblank(A361),,split(A361,""ー""))"),"14-8")</f>
        <v>14-8</v>
      </c>
      <c r="K361" s="13" t="str">
        <f>IFERROR(__xludf.DUMMYFUNCTION("if(isblank(B361),,split(B361,""ー""))"),"14-58")</f>
        <v>14-58</v>
      </c>
    </row>
    <row r="362">
      <c r="A362" s="15" t="s">
        <v>885</v>
      </c>
      <c r="B362" s="16" t="s">
        <v>886</v>
      </c>
      <c r="C362" s="9"/>
      <c r="D362" s="10" t="s">
        <v>165</v>
      </c>
      <c r="E362" s="10" t="s">
        <v>829</v>
      </c>
      <c r="F362" s="11" t="s">
        <v>887</v>
      </c>
      <c r="G362" s="44" t="s">
        <v>879</v>
      </c>
      <c r="I362" s="13" t="str">
        <f>IFERROR(__xludf.DUMMYFUNCTION("if(isblank(A362),,split(A362,""ー""))"),"14-80")</f>
        <v>14-80</v>
      </c>
      <c r="K362" s="13" t="str">
        <f>IFERROR(__xludf.DUMMYFUNCTION("if(isblank(B362),,split(B362,""ー""))"),"14-90")</f>
        <v>14-90</v>
      </c>
    </row>
    <row r="363">
      <c r="A363" s="15" t="s">
        <v>888</v>
      </c>
      <c r="B363" s="16" t="s">
        <v>889</v>
      </c>
      <c r="C363" s="9"/>
      <c r="D363" s="10" t="s">
        <v>165</v>
      </c>
      <c r="E363" s="10" t="s">
        <v>829</v>
      </c>
      <c r="F363" s="11" t="s">
        <v>890</v>
      </c>
      <c r="G363" s="44" t="s">
        <v>879</v>
      </c>
      <c r="I363" s="13" t="str">
        <f>IFERROR(__xludf.DUMMYFUNCTION("if(isblank(A363),,split(A363,""ー""))"),"14-82")</f>
        <v>14-82</v>
      </c>
      <c r="K363" s="13" t="str">
        <f>IFERROR(__xludf.DUMMYFUNCTION("if(isblank(B363),,split(B363,""ー""))"),"14-91")</f>
        <v>14-91</v>
      </c>
    </row>
    <row r="364">
      <c r="A364" s="15" t="s">
        <v>891</v>
      </c>
      <c r="B364" s="16" t="s">
        <v>892</v>
      </c>
      <c r="C364" s="9"/>
      <c r="D364" s="10" t="s">
        <v>36</v>
      </c>
      <c r="E364" s="10" t="s">
        <v>829</v>
      </c>
      <c r="F364" s="11" t="s">
        <v>36</v>
      </c>
      <c r="G364" s="44" t="s">
        <v>893</v>
      </c>
      <c r="I364" s="13" t="str">
        <f>IFERROR(__xludf.DUMMYFUNCTION("if(isblank(A364),,split(A364,""ー""))"),"14-87")</f>
        <v>14-87</v>
      </c>
      <c r="K364" s="13" t="str">
        <f>IFERROR(__xludf.DUMMYFUNCTION("if(isblank(B364),,split(B364,""ー""))"),"14-88")</f>
        <v>14-88</v>
      </c>
    </row>
    <row r="365">
      <c r="A365" s="15" t="s">
        <v>894</v>
      </c>
      <c r="B365" s="16" t="s">
        <v>895</v>
      </c>
      <c r="C365" s="9"/>
      <c r="D365" s="10" t="s">
        <v>308</v>
      </c>
      <c r="E365" s="10" t="s">
        <v>829</v>
      </c>
      <c r="F365" s="11" t="s">
        <v>896</v>
      </c>
      <c r="G365" s="44" t="s">
        <v>842</v>
      </c>
      <c r="I365" s="13" t="str">
        <f>IFERROR(__xludf.DUMMYFUNCTION("if(isblank(A365),,split(A365,""ー""))"),"14-89")</f>
        <v>14-89</v>
      </c>
      <c r="K365" s="13" t="str">
        <f>IFERROR(__xludf.DUMMYFUNCTION("if(isblank(B365),,split(B365,""ー""))"),"14-104")</f>
        <v>14-104</v>
      </c>
    </row>
    <row r="366">
      <c r="A366" s="15" t="s">
        <v>878</v>
      </c>
      <c r="B366" s="16" t="s">
        <v>897</v>
      </c>
      <c r="C366" s="9"/>
      <c r="D366" s="10" t="s">
        <v>36</v>
      </c>
      <c r="E366" s="10" t="s">
        <v>829</v>
      </c>
      <c r="F366" s="11" t="s">
        <v>36</v>
      </c>
      <c r="G366" s="44" t="s">
        <v>879</v>
      </c>
      <c r="I366" s="13" t="str">
        <f>IFERROR(__xludf.DUMMYFUNCTION("if(isblank(A366),,split(A366,""ー""))"),"14-92")</f>
        <v>14-92</v>
      </c>
      <c r="K366" s="13" t="str">
        <f>IFERROR(__xludf.DUMMYFUNCTION("if(isblank(B366),,split(B366,""ー""))"),"14-122")</f>
        <v>14-122</v>
      </c>
      <c r="AA366" s="4"/>
    </row>
    <row r="367">
      <c r="A367" s="15" t="s">
        <v>898</v>
      </c>
      <c r="B367" s="16" t="s">
        <v>899</v>
      </c>
      <c r="C367" s="9"/>
      <c r="D367" s="10" t="s">
        <v>308</v>
      </c>
      <c r="E367" s="10" t="s">
        <v>829</v>
      </c>
      <c r="F367" s="11" t="s">
        <v>900</v>
      </c>
      <c r="G367" s="44" t="s">
        <v>842</v>
      </c>
      <c r="I367" s="13" t="str">
        <f>IFERROR(__xludf.DUMMYFUNCTION("if(isblank(A367),,split(A367,""ー""))"),"14-95")</f>
        <v>14-95</v>
      </c>
      <c r="K367" s="13" t="str">
        <f>IFERROR(__xludf.DUMMYFUNCTION("if(isblank(B367),,split(B367,""ー""))"),"14-106")</f>
        <v>14-106</v>
      </c>
      <c r="AA367" s="4"/>
    </row>
    <row r="368">
      <c r="A368" s="15" t="s">
        <v>901</v>
      </c>
      <c r="B368" s="16" t="s">
        <v>902</v>
      </c>
      <c r="C368" s="9">
        <v>43881.0</v>
      </c>
      <c r="D368" s="10" t="s">
        <v>903</v>
      </c>
      <c r="E368" s="10" t="s">
        <v>904</v>
      </c>
      <c r="F368" s="10" t="s">
        <v>903</v>
      </c>
      <c r="G368" s="44"/>
      <c r="I368" s="13" t="str">
        <f>IFERROR(__xludf.DUMMYFUNCTION("if(isblank(A368),,split(A368,""ー""))"),"15-1")</f>
        <v>15-1</v>
      </c>
      <c r="K368" s="13" t="str">
        <f>IFERROR(__xludf.DUMMYFUNCTION("if(isblank(B368),,split(B368,""ー""))"),"15-2")</f>
        <v>15-2</v>
      </c>
      <c r="AA368" s="4"/>
    </row>
    <row r="369">
      <c r="A369" s="15" t="s">
        <v>901</v>
      </c>
      <c r="B369" s="16" t="s">
        <v>905</v>
      </c>
      <c r="C369" s="9">
        <v>43881.0</v>
      </c>
      <c r="D369" s="10" t="s">
        <v>903</v>
      </c>
      <c r="E369" s="10" t="s">
        <v>904</v>
      </c>
      <c r="F369" s="10" t="s">
        <v>903</v>
      </c>
      <c r="G369" s="44"/>
      <c r="I369" s="13" t="str">
        <f>IFERROR(__xludf.DUMMYFUNCTION("if(isblank(A369),,split(A369,""ー""))"),"15-1")</f>
        <v>15-1</v>
      </c>
      <c r="K369" s="13" t="str">
        <f>IFERROR(__xludf.DUMMYFUNCTION("if(isblank(B369),,split(B369,""ー""))"),"15-3")</f>
        <v>15-3</v>
      </c>
      <c r="AA369" s="4"/>
    </row>
    <row r="370">
      <c r="A370" s="15" t="s">
        <v>901</v>
      </c>
      <c r="B370" s="16" t="s">
        <v>906</v>
      </c>
      <c r="C370" s="9">
        <v>43881.0</v>
      </c>
      <c r="D370" s="10" t="s">
        <v>903</v>
      </c>
      <c r="E370" s="10" t="s">
        <v>904</v>
      </c>
      <c r="F370" s="10" t="s">
        <v>903</v>
      </c>
      <c r="G370" s="44"/>
      <c r="I370" s="13" t="str">
        <f>IFERROR(__xludf.DUMMYFUNCTION("if(isblank(A370),,split(A370,""ー""))"),"15-1")</f>
        <v>15-1</v>
      </c>
      <c r="K370" s="13" t="str">
        <f>IFERROR(__xludf.DUMMYFUNCTION("if(isblank(B370),,split(B370,""ー""))"),"15-4")</f>
        <v>15-4</v>
      </c>
    </row>
    <row r="371">
      <c r="A371" s="15" t="s">
        <v>901</v>
      </c>
      <c r="B371" s="16" t="s">
        <v>907</v>
      </c>
      <c r="C371" s="9">
        <v>43881.0</v>
      </c>
      <c r="D371" s="10" t="s">
        <v>903</v>
      </c>
      <c r="E371" s="10" t="s">
        <v>904</v>
      </c>
      <c r="F371" s="10" t="s">
        <v>903</v>
      </c>
      <c r="G371" s="44"/>
      <c r="I371" s="13" t="str">
        <f>IFERROR(__xludf.DUMMYFUNCTION("if(isblank(A371),,split(A371,""ー""))"),"15-1")</f>
        <v>15-1</v>
      </c>
      <c r="K371" s="13" t="str">
        <f>IFERROR(__xludf.DUMMYFUNCTION("if(isblank(B371),,split(B371,""ー""))"),"15-5")</f>
        <v>15-5</v>
      </c>
      <c r="AA371" s="4"/>
    </row>
    <row r="372">
      <c r="A372" s="15" t="s">
        <v>908</v>
      </c>
      <c r="B372" s="16" t="s">
        <v>909</v>
      </c>
      <c r="C372" s="9"/>
      <c r="D372" s="10" t="s">
        <v>360</v>
      </c>
      <c r="E372" s="10" t="s">
        <v>904</v>
      </c>
      <c r="F372" s="11" t="s">
        <v>59</v>
      </c>
      <c r="G372" s="12" t="s">
        <v>910</v>
      </c>
      <c r="I372" s="13" t="str">
        <f>IFERROR(__xludf.DUMMYFUNCTION("if(isblank(A372),,split(A372,""ー""))"),"15-16")</f>
        <v>15-16</v>
      </c>
      <c r="K372" s="13" t="str">
        <f>IFERROR(__xludf.DUMMYFUNCTION("if(isblank(B372),,split(B372,""ー""))"),"15-23")</f>
        <v>15-23</v>
      </c>
    </row>
    <row r="373">
      <c r="A373" s="15" t="s">
        <v>905</v>
      </c>
      <c r="B373" s="16" t="s">
        <v>911</v>
      </c>
      <c r="C373" s="9">
        <v>43917.0</v>
      </c>
      <c r="D373" s="10" t="s">
        <v>912</v>
      </c>
      <c r="E373" s="10" t="s">
        <v>904</v>
      </c>
      <c r="F373" s="11" t="s">
        <v>913</v>
      </c>
      <c r="G373" s="44" t="s">
        <v>914</v>
      </c>
      <c r="I373" s="13" t="str">
        <f>IFERROR(__xludf.DUMMYFUNCTION("if(isblank(A373),,split(A373,""ー""))"),"15-3")</f>
        <v>15-3</v>
      </c>
      <c r="K373" s="13" t="str">
        <f>IFERROR(__xludf.DUMMYFUNCTION("if(isblank(B373),,split(B373,""ー""))"),"15-7")</f>
        <v>15-7</v>
      </c>
    </row>
    <row r="374">
      <c r="A374" s="15" t="s">
        <v>905</v>
      </c>
      <c r="B374" s="16" t="s">
        <v>915</v>
      </c>
      <c r="C374" s="9">
        <v>43885.0</v>
      </c>
      <c r="D374" s="10" t="s">
        <v>916</v>
      </c>
      <c r="E374" s="10" t="s">
        <v>904</v>
      </c>
      <c r="F374" s="11" t="s">
        <v>917</v>
      </c>
      <c r="G374" s="44" t="s">
        <v>914</v>
      </c>
      <c r="I374" s="13" t="str">
        <f>IFERROR(__xludf.DUMMYFUNCTION("if(isblank(A374),,split(A374,""ー""))"),"15-3")</f>
        <v>15-3</v>
      </c>
      <c r="K374" s="13" t="str">
        <f>IFERROR(__xludf.DUMMYFUNCTION("if(isblank(B374),,split(B374,""ー""))"),"15-8")</f>
        <v>15-8</v>
      </c>
    </row>
    <row r="375">
      <c r="A375" s="15" t="s">
        <v>907</v>
      </c>
      <c r="B375" s="16" t="s">
        <v>918</v>
      </c>
      <c r="C375" s="9"/>
      <c r="D375" s="10" t="s">
        <v>919</v>
      </c>
      <c r="E375" s="10" t="s">
        <v>904</v>
      </c>
      <c r="F375" s="11" t="s">
        <v>920</v>
      </c>
      <c r="G375" s="44"/>
      <c r="I375" s="13" t="str">
        <f>IFERROR(__xludf.DUMMYFUNCTION("if(isblank(A375),,split(A375,""ー""))"),"15-5")</f>
        <v>15-5</v>
      </c>
      <c r="K375" s="13" t="str">
        <f>IFERROR(__xludf.DUMMYFUNCTION("if(isblank(B375),,split(B375,""ー""))"),"15-6")</f>
        <v>15-6</v>
      </c>
    </row>
    <row r="376">
      <c r="A376" s="15" t="s">
        <v>911</v>
      </c>
      <c r="B376" s="16" t="s">
        <v>921</v>
      </c>
      <c r="C376" s="9"/>
      <c r="D376" s="10" t="s">
        <v>922</v>
      </c>
      <c r="E376" s="10" t="s">
        <v>904</v>
      </c>
      <c r="F376" s="11" t="s">
        <v>923</v>
      </c>
      <c r="G376" s="44" t="s">
        <v>924</v>
      </c>
      <c r="I376" s="13" t="str">
        <f>IFERROR(__xludf.DUMMYFUNCTION("if(isblank(A376),,split(A376,""ー""))"),"15-7")</f>
        <v>15-7</v>
      </c>
      <c r="K376" s="13" t="str">
        <f>IFERROR(__xludf.DUMMYFUNCTION("if(isblank(B376),,split(B376,""ー""))"),"15-18")</f>
        <v>15-18</v>
      </c>
    </row>
    <row r="377">
      <c r="A377" s="15" t="s">
        <v>911</v>
      </c>
      <c r="B377" s="16" t="s">
        <v>925</v>
      </c>
      <c r="C377" s="9"/>
      <c r="D377" s="10" t="s">
        <v>922</v>
      </c>
      <c r="E377" s="10" t="s">
        <v>904</v>
      </c>
      <c r="F377" s="11" t="s">
        <v>923</v>
      </c>
      <c r="G377" s="44" t="s">
        <v>924</v>
      </c>
      <c r="I377" s="13" t="str">
        <f>IFERROR(__xludf.DUMMYFUNCTION("if(isblank(A377),,split(A377,""ー""))"),"15-7")</f>
        <v>15-7</v>
      </c>
      <c r="K377" s="13" t="str">
        <f>IFERROR(__xludf.DUMMYFUNCTION("if(isblank(B377),,split(B377,""ー""))"),"15-19")</f>
        <v>15-19</v>
      </c>
    </row>
    <row r="378">
      <c r="A378" s="15" t="s">
        <v>911</v>
      </c>
      <c r="B378" s="16" t="s">
        <v>926</v>
      </c>
      <c r="C378" s="9"/>
      <c r="D378" s="10" t="s">
        <v>927</v>
      </c>
      <c r="E378" s="10" t="s">
        <v>904</v>
      </c>
      <c r="F378" s="11" t="s">
        <v>923</v>
      </c>
      <c r="G378" s="12" t="s">
        <v>928</v>
      </c>
      <c r="I378" s="13" t="str">
        <f>IFERROR(__xludf.DUMMYFUNCTION("if(isblank(A378),,split(A378,""ー""))"),"15-7")</f>
        <v>15-7</v>
      </c>
      <c r="K378" s="13" t="str">
        <f>IFERROR(__xludf.DUMMYFUNCTION("if(isblank(B378),,split(B378,""ー""))"),"15-24")</f>
        <v>15-24</v>
      </c>
    </row>
    <row r="379">
      <c r="A379" s="15" t="s">
        <v>929</v>
      </c>
      <c r="B379" s="16" t="s">
        <v>930</v>
      </c>
      <c r="C379" s="9">
        <v>43914.0</v>
      </c>
      <c r="D379" s="10" t="s">
        <v>931</v>
      </c>
      <c r="E379" s="10" t="s">
        <v>932</v>
      </c>
      <c r="F379" s="11" t="s">
        <v>36</v>
      </c>
      <c r="G379" s="12" t="s">
        <v>933</v>
      </c>
      <c r="I379" s="13" t="str">
        <f>IFERROR(__xludf.DUMMYFUNCTION("if(isblank(A379),,split(A379,""ー""))"),"16-1")</f>
        <v>16-1</v>
      </c>
      <c r="K379" s="13" t="str">
        <f>IFERROR(__xludf.DUMMYFUNCTION("if(isblank(B379),,split(B379,""ー""))"),"16-2")</f>
        <v>16-2</v>
      </c>
      <c r="Y379" s="4"/>
      <c r="Z379" s="4"/>
    </row>
    <row r="380">
      <c r="A380" s="15" t="s">
        <v>929</v>
      </c>
      <c r="B380" s="16" t="s">
        <v>934</v>
      </c>
      <c r="C380" s="9">
        <v>43914.0</v>
      </c>
      <c r="D380" s="10" t="s">
        <v>931</v>
      </c>
      <c r="E380" s="10" t="s">
        <v>932</v>
      </c>
      <c r="F380" s="11" t="s">
        <v>36</v>
      </c>
      <c r="G380" s="12" t="s">
        <v>935</v>
      </c>
      <c r="I380" s="13" t="str">
        <f>IFERROR(__xludf.DUMMYFUNCTION("if(isblank(A380),,split(A380,""ー""))"),"16-1")</f>
        <v>16-1</v>
      </c>
      <c r="K380" s="13" t="str">
        <f>IFERROR(__xludf.DUMMYFUNCTION("if(isblank(B380),,split(B380,""ー""))"),"16-3")</f>
        <v>16-3</v>
      </c>
      <c r="Y380" s="4"/>
      <c r="Z380" s="4"/>
    </row>
    <row r="381">
      <c r="A381" s="15" t="s">
        <v>929</v>
      </c>
      <c r="B381" s="16" t="s">
        <v>936</v>
      </c>
      <c r="C381" s="9">
        <v>43945.0</v>
      </c>
      <c r="D381" s="10" t="s">
        <v>931</v>
      </c>
      <c r="E381" s="10" t="s">
        <v>932</v>
      </c>
      <c r="F381" s="11" t="s">
        <v>36</v>
      </c>
      <c r="G381" s="12" t="s">
        <v>937</v>
      </c>
      <c r="I381" s="13" t="str">
        <f>IFERROR(__xludf.DUMMYFUNCTION("if(isblank(A381),,split(A381,""ー""))"),"16-1")</f>
        <v>16-1</v>
      </c>
      <c r="K381" s="13" t="str">
        <f>IFERROR(__xludf.DUMMYFUNCTION("if(isblank(B381),,split(B381,""ー""))"),"16-4")</f>
        <v>16-4</v>
      </c>
      <c r="Y381" s="4"/>
      <c r="Z381" s="4"/>
    </row>
    <row r="382">
      <c r="A382" s="15" t="s">
        <v>929</v>
      </c>
      <c r="B382" s="16" t="s">
        <v>938</v>
      </c>
      <c r="C382" s="9">
        <v>43914.0</v>
      </c>
      <c r="D382" s="10" t="s">
        <v>538</v>
      </c>
      <c r="E382" s="10" t="s">
        <v>932</v>
      </c>
      <c r="F382" s="11" t="s">
        <v>939</v>
      </c>
      <c r="G382" s="49" t="s">
        <v>940</v>
      </c>
      <c r="I382" s="13" t="str">
        <f>IFERROR(__xludf.DUMMYFUNCTION("if(isblank(A382),,split(A382,""ー""))"),"16-1")</f>
        <v>16-1</v>
      </c>
      <c r="K382" s="13" t="str">
        <f>IFERROR(__xludf.DUMMYFUNCTION("if(isblank(B382),,split(B382,""ー""))"),"16-9")</f>
        <v>16-9</v>
      </c>
      <c r="Y382" s="4"/>
      <c r="Z382" s="4"/>
    </row>
    <row r="383">
      <c r="A383" s="15" t="s">
        <v>929</v>
      </c>
      <c r="B383" s="86" t="s">
        <v>941</v>
      </c>
      <c r="C383" s="9">
        <v>43911.0</v>
      </c>
      <c r="D383" s="6" t="s">
        <v>942</v>
      </c>
      <c r="E383" s="10" t="s">
        <v>943</v>
      </c>
      <c r="F383" s="11" t="s">
        <v>944</v>
      </c>
      <c r="G383" s="87" t="s">
        <v>945</v>
      </c>
      <c r="I383" s="13" t="str">
        <f>IFERROR(__xludf.DUMMYFUNCTION("if(isblank(A383),,split(A383,""ー""))"),"16-1")</f>
        <v>16-1</v>
      </c>
      <c r="K383" s="13" t="str">
        <f>IFERROR(__xludf.DUMMYFUNCTION("if(isblank(B383),,split(B383,""ー""))"),"38-4")</f>
        <v>38-4</v>
      </c>
    </row>
    <row r="384">
      <c r="A384" s="15" t="s">
        <v>936</v>
      </c>
      <c r="B384" s="16" t="s">
        <v>946</v>
      </c>
      <c r="C384" s="9"/>
      <c r="D384" s="10" t="s">
        <v>947</v>
      </c>
      <c r="E384" s="10" t="s">
        <v>932</v>
      </c>
      <c r="F384" s="11" t="s">
        <v>36</v>
      </c>
      <c r="G384" s="12" t="s">
        <v>948</v>
      </c>
      <c r="I384" s="13" t="str">
        <f>IFERROR(__xludf.DUMMYFUNCTION("if(isblank(A384),,split(A384,""ー""))"),"16-4")</f>
        <v>16-4</v>
      </c>
      <c r="K384" s="13" t="str">
        <f>IFERROR(__xludf.DUMMYFUNCTION("if(isblank(B384),,split(B384,""ー""))"),"16-6")</f>
        <v>16-6</v>
      </c>
      <c r="Y384" s="4"/>
      <c r="Z384" s="4"/>
      <c r="AA384" s="4"/>
    </row>
    <row r="385">
      <c r="A385" s="15" t="s">
        <v>936</v>
      </c>
      <c r="B385" s="16" t="s">
        <v>949</v>
      </c>
      <c r="C385" s="9">
        <v>43917.0</v>
      </c>
      <c r="D385" s="10" t="s">
        <v>931</v>
      </c>
      <c r="E385" s="10" t="s">
        <v>932</v>
      </c>
      <c r="F385" s="11" t="s">
        <v>36</v>
      </c>
      <c r="G385" s="12" t="s">
        <v>948</v>
      </c>
      <c r="I385" s="13" t="str">
        <f>IFERROR(__xludf.DUMMYFUNCTION("if(isblank(A385),,split(A385,""ー""))"),"16-4")</f>
        <v>16-4</v>
      </c>
      <c r="K385" s="13" t="str">
        <f>IFERROR(__xludf.DUMMYFUNCTION("if(isblank(B385),,split(B385,""ー""))"),"16-7")</f>
        <v>16-7</v>
      </c>
      <c r="Y385" s="4"/>
      <c r="Z385" s="4"/>
      <c r="AA385" s="4"/>
    </row>
    <row r="386">
      <c r="A386" s="15" t="s">
        <v>950</v>
      </c>
      <c r="B386" s="16" t="s">
        <v>951</v>
      </c>
      <c r="C386" s="9"/>
      <c r="D386" s="10" t="s">
        <v>308</v>
      </c>
      <c r="E386" s="10" t="s">
        <v>932</v>
      </c>
      <c r="F386" s="11" t="s">
        <v>36</v>
      </c>
      <c r="G386" s="12" t="s">
        <v>952</v>
      </c>
      <c r="I386" s="13" t="str">
        <f>IFERROR(__xludf.DUMMYFUNCTION("if(isblank(A386),,split(A386,""ー""))"),"16-5")</f>
        <v>16-5</v>
      </c>
      <c r="K386" s="13" t="str">
        <f>IFERROR(__xludf.DUMMYFUNCTION("if(isblank(B386),,split(B386,""ー""))"),"16-8")</f>
        <v>16-8</v>
      </c>
      <c r="Y386" s="4"/>
      <c r="Z386" s="4"/>
      <c r="AA386" s="4"/>
    </row>
    <row r="387">
      <c r="A387" s="7" t="s">
        <v>953</v>
      </c>
      <c r="B387" s="88" t="s">
        <v>954</v>
      </c>
      <c r="C387" s="9"/>
      <c r="D387" s="6" t="s">
        <v>273</v>
      </c>
      <c r="E387" s="6" t="s">
        <v>955</v>
      </c>
      <c r="F387" s="11" t="s">
        <v>956</v>
      </c>
      <c r="G387" s="12" t="s">
        <v>957</v>
      </c>
      <c r="I387" s="13" t="str">
        <f>IFERROR(__xludf.DUMMYFUNCTION("if(isblank(A387),,split(A387,""ー""))"),"18-7")</f>
        <v>18-7</v>
      </c>
      <c r="K387" s="13" t="str">
        <f>IFERROR(__xludf.DUMMYFUNCTION("if(isblank(B387),,split(B387,""ー""))"),"18-11")</f>
        <v>18-11</v>
      </c>
      <c r="Y387" s="4"/>
      <c r="Z387" s="4"/>
      <c r="AA387" s="4"/>
    </row>
    <row r="388">
      <c r="A388" s="7" t="s">
        <v>953</v>
      </c>
      <c r="B388" s="88" t="s">
        <v>958</v>
      </c>
      <c r="C388" s="9"/>
      <c r="D388" s="6" t="s">
        <v>273</v>
      </c>
      <c r="E388" s="6" t="s">
        <v>955</v>
      </c>
      <c r="F388" s="11" t="s">
        <v>956</v>
      </c>
      <c r="G388" s="12" t="s">
        <v>957</v>
      </c>
      <c r="I388" s="13" t="str">
        <f>IFERROR(__xludf.DUMMYFUNCTION("if(isblank(A388),,split(A388,""ー""))"),"18-7")</f>
        <v>18-7</v>
      </c>
      <c r="K388" s="13" t="str">
        <f>IFERROR(__xludf.DUMMYFUNCTION("if(isblank(B388),,split(B388,""ー""))"),"18-9")</f>
        <v>18-9</v>
      </c>
      <c r="AA388" s="4"/>
    </row>
    <row r="389">
      <c r="A389" s="7" t="s">
        <v>959</v>
      </c>
      <c r="B389" s="88" t="s">
        <v>960</v>
      </c>
      <c r="C389" s="9"/>
      <c r="D389" s="6" t="s">
        <v>273</v>
      </c>
      <c r="E389" s="6" t="s">
        <v>955</v>
      </c>
      <c r="F389" s="11" t="s">
        <v>956</v>
      </c>
      <c r="G389" s="12" t="s">
        <v>957</v>
      </c>
      <c r="I389" s="13" t="str">
        <f>IFERROR(__xludf.DUMMYFUNCTION("if(isblank(A389),,split(A389,""ー""))"),"18-8")</f>
        <v>18-8</v>
      </c>
      <c r="K389" s="13" t="str">
        <f>IFERROR(__xludf.DUMMYFUNCTION("if(isblank(B389),,split(B389,""ー""))"),"18-10")</f>
        <v>18-10</v>
      </c>
      <c r="Y389" s="4"/>
      <c r="Z389" s="4"/>
      <c r="AA389" s="4"/>
    </row>
    <row r="390">
      <c r="A390" s="15" t="s">
        <v>961</v>
      </c>
      <c r="B390" s="86" t="s">
        <v>962</v>
      </c>
      <c r="C390" s="9">
        <v>43882.0</v>
      </c>
      <c r="D390" s="6" t="s">
        <v>963</v>
      </c>
      <c r="E390" s="6" t="s">
        <v>964</v>
      </c>
      <c r="F390" s="6" t="s">
        <v>355</v>
      </c>
      <c r="G390" s="12" t="s">
        <v>965</v>
      </c>
      <c r="I390" s="13" t="str">
        <f>IFERROR(__xludf.DUMMYFUNCTION("if(isblank(A390),,split(A390,""ー""))"),"19-1")</f>
        <v>19-1</v>
      </c>
      <c r="K390" s="13" t="str">
        <f>IFERROR(__xludf.DUMMYFUNCTION("if(isblank(B390),,split(B390,""ー""))"),"27-15")</f>
        <v>27-15</v>
      </c>
      <c r="AA390" s="4"/>
    </row>
    <row r="391">
      <c r="A391" s="15" t="s">
        <v>966</v>
      </c>
      <c r="B391" s="16" t="s">
        <v>967</v>
      </c>
      <c r="C391" s="9"/>
      <c r="D391" s="10" t="s">
        <v>968</v>
      </c>
      <c r="E391" s="6" t="s">
        <v>964</v>
      </c>
      <c r="F391" s="11" t="s">
        <v>36</v>
      </c>
      <c r="G391" s="44" t="s">
        <v>969</v>
      </c>
      <c r="I391" s="13" t="str">
        <f>IFERROR(__xludf.DUMMYFUNCTION("if(isblank(A391),,split(A391,""ー""))"),"19-10")</f>
        <v>19-10</v>
      </c>
      <c r="K391" s="13" t="str">
        <f>IFERROR(__xludf.DUMMYFUNCTION("if(isblank(B391),,split(B391,""ー""))"),"19-12")</f>
        <v>19-12</v>
      </c>
    </row>
    <row r="392">
      <c r="A392" s="15" t="s">
        <v>966</v>
      </c>
      <c r="B392" s="16" t="s">
        <v>970</v>
      </c>
      <c r="C392" s="9"/>
      <c r="D392" s="10" t="s">
        <v>968</v>
      </c>
      <c r="E392" s="6" t="s">
        <v>964</v>
      </c>
      <c r="F392" s="11" t="s">
        <v>36</v>
      </c>
      <c r="G392" s="44" t="s">
        <v>971</v>
      </c>
      <c r="I392" s="13" t="str">
        <f>IFERROR(__xludf.DUMMYFUNCTION("if(isblank(A392),,split(A392,""ー""))"),"19-10")</f>
        <v>19-10</v>
      </c>
      <c r="K392" s="13" t="str">
        <f>IFERROR(__xludf.DUMMYFUNCTION("if(isblank(B392),,split(B392,""ー""))"),"19-13")</f>
        <v>19-13</v>
      </c>
    </row>
    <row r="393">
      <c r="A393" s="15" t="s">
        <v>966</v>
      </c>
      <c r="B393" s="16" t="s">
        <v>972</v>
      </c>
      <c r="C393" s="9"/>
      <c r="D393" s="10" t="s">
        <v>968</v>
      </c>
      <c r="E393" s="6" t="s">
        <v>964</v>
      </c>
      <c r="F393" s="11" t="s">
        <v>36</v>
      </c>
      <c r="G393" s="11"/>
      <c r="I393" s="13" t="str">
        <f>IFERROR(__xludf.DUMMYFUNCTION("if(isblank(A393),,split(A393,""ー""))"),"19-10")</f>
        <v>19-10</v>
      </c>
      <c r="K393" s="13" t="str">
        <f>IFERROR(__xludf.DUMMYFUNCTION("if(isblank(B393),,split(B393,""ー""))"),"19-19")</f>
        <v>19-19</v>
      </c>
    </row>
    <row r="394">
      <c r="A394" s="15" t="s">
        <v>973</v>
      </c>
      <c r="B394" s="16" t="s">
        <v>974</v>
      </c>
      <c r="C394" s="9"/>
      <c r="D394" s="10" t="s">
        <v>975</v>
      </c>
      <c r="E394" s="6" t="s">
        <v>964</v>
      </c>
      <c r="F394" s="11" t="s">
        <v>36</v>
      </c>
      <c r="G394" s="44" t="s">
        <v>976</v>
      </c>
      <c r="I394" s="13" t="str">
        <f>IFERROR(__xludf.DUMMYFUNCTION("if(isblank(A394),,split(A394,""ー""))"),"19-11")</f>
        <v>19-11</v>
      </c>
      <c r="K394" s="13" t="str">
        <f>IFERROR(__xludf.DUMMYFUNCTION("if(isblank(B394),,split(B394,""ー""))"),"19-14")</f>
        <v>19-14</v>
      </c>
    </row>
    <row r="395">
      <c r="A395" s="15" t="s">
        <v>970</v>
      </c>
      <c r="B395" s="16" t="s">
        <v>977</v>
      </c>
      <c r="C395" s="9"/>
      <c r="D395" s="10" t="s">
        <v>541</v>
      </c>
      <c r="E395" s="10" t="s">
        <v>964</v>
      </c>
      <c r="F395" s="11" t="s">
        <v>36</v>
      </c>
      <c r="G395" s="68" t="s">
        <v>978</v>
      </c>
      <c r="I395" s="13" t="str">
        <f>IFERROR(__xludf.DUMMYFUNCTION("if(isblank(A395),,split(A395,""ー""))"),"19-13")</f>
        <v>19-13</v>
      </c>
      <c r="K395" s="13" t="str">
        <f>IFERROR(__xludf.DUMMYFUNCTION("if(isblank(B395),,split(B395,""ー""))"),"19-18")</f>
        <v>19-18</v>
      </c>
    </row>
    <row r="396">
      <c r="A396" s="15" t="s">
        <v>979</v>
      </c>
      <c r="B396" s="16" t="s">
        <v>980</v>
      </c>
      <c r="C396" s="9"/>
      <c r="D396" s="10" t="s">
        <v>44</v>
      </c>
      <c r="E396" s="10" t="s">
        <v>964</v>
      </c>
      <c r="F396" s="11" t="s">
        <v>36</v>
      </c>
      <c r="G396" s="12" t="s">
        <v>981</v>
      </c>
      <c r="I396" s="13" t="str">
        <f>IFERROR(__xludf.DUMMYFUNCTION("if(isblank(A396),,split(A396,""ー""))"),"19-3")</f>
        <v>19-3</v>
      </c>
      <c r="K396" s="13" t="str">
        <f>IFERROR(__xludf.DUMMYFUNCTION("if(isblank(B396),,split(B396,""ー""))"),"19-4")</f>
        <v>19-4</v>
      </c>
    </row>
    <row r="397">
      <c r="A397" s="15" t="s">
        <v>982</v>
      </c>
      <c r="B397" s="16" t="s">
        <v>353</v>
      </c>
      <c r="C397" s="9"/>
      <c r="D397" s="10" t="s">
        <v>165</v>
      </c>
      <c r="E397" s="10" t="s">
        <v>983</v>
      </c>
      <c r="F397" s="11" t="s">
        <v>984</v>
      </c>
      <c r="G397" s="12" t="s">
        <v>985</v>
      </c>
      <c r="I397" s="13" t="str">
        <f>IFERROR(__xludf.DUMMYFUNCTION("if(isblank(A397),,split(A397,""ー""))"),"20-1")</f>
        <v>20-1</v>
      </c>
      <c r="K397" s="13" t="str">
        <f>IFERROR(__xludf.DUMMYFUNCTION("if(isblank(B397),,split(B397,""ー""))"),"20-2")</f>
        <v>20-2</v>
      </c>
    </row>
    <row r="398">
      <c r="A398" s="15" t="s">
        <v>986</v>
      </c>
      <c r="B398" s="16" t="s">
        <v>987</v>
      </c>
      <c r="C398" s="9">
        <v>43917.0</v>
      </c>
      <c r="D398" s="10" t="s">
        <v>36</v>
      </c>
      <c r="E398" s="10" t="s">
        <v>983</v>
      </c>
      <c r="F398" s="11" t="s">
        <v>36</v>
      </c>
      <c r="G398" s="12" t="s">
        <v>988</v>
      </c>
      <c r="I398" s="13" t="str">
        <f>IFERROR(__xludf.DUMMYFUNCTION("if(isblank(A398),,split(A398,""ー""))"),"20-10")</f>
        <v>20-10</v>
      </c>
      <c r="K398" s="13" t="str">
        <f>IFERROR(__xludf.DUMMYFUNCTION("if(isblank(B398),,split(B398,""ー""))"),"20-11")</f>
        <v>20-11</v>
      </c>
    </row>
    <row r="399">
      <c r="A399" s="15" t="s">
        <v>987</v>
      </c>
      <c r="B399" s="16" t="s">
        <v>989</v>
      </c>
      <c r="C399" s="9"/>
      <c r="D399" s="10" t="s">
        <v>165</v>
      </c>
      <c r="E399" s="10" t="s">
        <v>983</v>
      </c>
      <c r="F399" s="11" t="s">
        <v>990</v>
      </c>
      <c r="G399" s="12" t="s">
        <v>991</v>
      </c>
      <c r="I399" s="13" t="str">
        <f>IFERROR(__xludf.DUMMYFUNCTION("if(isblank(A399),,split(A399,""ー""))"),"20-11")</f>
        <v>20-11</v>
      </c>
      <c r="K399" s="13" t="str">
        <f>IFERROR(__xludf.DUMMYFUNCTION("if(isblank(B399),,split(B399,""ー""))"),"20-13")</f>
        <v>20-13</v>
      </c>
    </row>
    <row r="400">
      <c r="A400" s="15" t="s">
        <v>992</v>
      </c>
      <c r="B400" s="86" t="s">
        <v>993</v>
      </c>
      <c r="C400" s="9">
        <v>43880.0</v>
      </c>
      <c r="D400" s="10" t="s">
        <v>36</v>
      </c>
      <c r="E400" s="10" t="s">
        <v>983</v>
      </c>
      <c r="F400" s="11" t="s">
        <v>355</v>
      </c>
      <c r="G400" s="68" t="s">
        <v>994</v>
      </c>
      <c r="I400" s="13" t="str">
        <f>IFERROR(__xludf.DUMMYFUNCTION("if(isblank(A400),,split(A400,""ー""))"),"20-3")</f>
        <v>20-3</v>
      </c>
      <c r="K400" s="13" t="str">
        <f>IFERROR(__xludf.DUMMYFUNCTION("if(isblank(B400),,split(B400,""ー""))"),"27-12")</f>
        <v>27-12</v>
      </c>
    </row>
    <row r="401">
      <c r="A401" s="7" t="s">
        <v>995</v>
      </c>
      <c r="B401" s="8" t="s">
        <v>996</v>
      </c>
      <c r="C401" s="9"/>
      <c r="D401" s="10" t="s">
        <v>44</v>
      </c>
      <c r="E401" s="10" t="s">
        <v>997</v>
      </c>
      <c r="F401" s="11" t="s">
        <v>36</v>
      </c>
      <c r="G401" s="12" t="s">
        <v>998</v>
      </c>
      <c r="I401" s="13" t="str">
        <f>IFERROR(__xludf.DUMMYFUNCTION("if(isblank(A401),,split(A401,""ー""))"),"21-1")</f>
        <v>21-1</v>
      </c>
      <c r="K401" s="13" t="str">
        <f>IFERROR(__xludf.DUMMYFUNCTION("if(isblank(B401),,split(B401,""ー""))"),"21-2")</f>
        <v>21-2</v>
      </c>
    </row>
    <row r="402">
      <c r="A402" s="7" t="s">
        <v>999</v>
      </c>
      <c r="B402" s="8" t="s">
        <v>1000</v>
      </c>
      <c r="C402" s="9"/>
      <c r="D402" s="10" t="s">
        <v>36</v>
      </c>
      <c r="E402" s="10" t="s">
        <v>997</v>
      </c>
      <c r="F402" s="11" t="s">
        <v>36</v>
      </c>
      <c r="G402" s="12" t="s">
        <v>1001</v>
      </c>
      <c r="I402" s="13" t="str">
        <f>IFERROR(__xludf.DUMMYFUNCTION("if(isblank(A402),,split(A402,""ー""))"),"21-12")</f>
        <v>21-12</v>
      </c>
      <c r="K402" s="13" t="str">
        <f>IFERROR(__xludf.DUMMYFUNCTION("if(isblank(B402),,split(B402,""ー""))"),"21-15")</f>
        <v>21-15</v>
      </c>
    </row>
    <row r="403">
      <c r="A403" s="7" t="s">
        <v>1002</v>
      </c>
      <c r="B403" s="8" t="s">
        <v>1003</v>
      </c>
      <c r="C403" s="9"/>
      <c r="D403" s="10" t="s">
        <v>44</v>
      </c>
      <c r="E403" s="10" t="s">
        <v>997</v>
      </c>
      <c r="F403" s="11" t="s">
        <v>36</v>
      </c>
      <c r="G403" s="68" t="s">
        <v>1004</v>
      </c>
      <c r="I403" s="13" t="str">
        <f>IFERROR(__xludf.DUMMYFUNCTION("if(isblank(A403),,split(A403,""ー""))"),"21-4")</f>
        <v>21-4</v>
      </c>
      <c r="K403" s="13" t="str">
        <f>IFERROR(__xludf.DUMMYFUNCTION("if(isblank(B403),,split(B403,""ー""))"),"21-6")</f>
        <v>21-6</v>
      </c>
    </row>
    <row r="404">
      <c r="A404" s="7" t="s">
        <v>1005</v>
      </c>
      <c r="B404" s="8" t="s">
        <v>1006</v>
      </c>
      <c r="C404" s="9"/>
      <c r="D404" s="10" t="s">
        <v>1007</v>
      </c>
      <c r="E404" s="10" t="s">
        <v>997</v>
      </c>
      <c r="F404" s="11" t="s">
        <v>36</v>
      </c>
      <c r="G404" s="12" t="s">
        <v>1008</v>
      </c>
      <c r="I404" s="13" t="str">
        <f>IFERROR(__xludf.DUMMYFUNCTION("if(isblank(A404),,split(A404,""ー""))"),"21-5")</f>
        <v>21-5</v>
      </c>
      <c r="K404" s="13" t="str">
        <f>IFERROR(__xludf.DUMMYFUNCTION("if(isblank(B404),,split(B404,""ー""))"),"21-10")</f>
        <v>21-10</v>
      </c>
    </row>
    <row r="405">
      <c r="A405" s="7" t="s">
        <v>1005</v>
      </c>
      <c r="B405" s="8" t="s">
        <v>1009</v>
      </c>
      <c r="C405" s="9"/>
      <c r="D405" s="10" t="s">
        <v>1007</v>
      </c>
      <c r="E405" s="10" t="s">
        <v>997</v>
      </c>
      <c r="F405" s="11" t="s">
        <v>36</v>
      </c>
      <c r="G405" s="12" t="s">
        <v>1008</v>
      </c>
      <c r="I405" s="13" t="str">
        <f>IFERROR(__xludf.DUMMYFUNCTION("if(isblank(A405),,split(A405,""ー""))"),"21-5")</f>
        <v>21-5</v>
      </c>
      <c r="K405" s="13" t="str">
        <f>IFERROR(__xludf.DUMMYFUNCTION("if(isblank(B405),,split(B405,""ー""))"),"21-11")</f>
        <v>21-11</v>
      </c>
    </row>
    <row r="406">
      <c r="A406" s="7" t="s">
        <v>1005</v>
      </c>
      <c r="B406" s="8" t="s">
        <v>999</v>
      </c>
      <c r="C406" s="9"/>
      <c r="D406" s="10" t="s">
        <v>36</v>
      </c>
      <c r="E406" s="10" t="s">
        <v>997</v>
      </c>
      <c r="F406" s="11" t="s">
        <v>36</v>
      </c>
      <c r="G406" s="12" t="s">
        <v>1010</v>
      </c>
      <c r="I406" s="13" t="str">
        <f>IFERROR(__xludf.DUMMYFUNCTION("if(isblank(A406),,split(A406,""ー""))"),"21-5")</f>
        <v>21-5</v>
      </c>
      <c r="K406" s="13" t="str">
        <f>IFERROR(__xludf.DUMMYFUNCTION("if(isblank(B406),,split(B406,""ー""))"),"21-12")</f>
        <v>21-12</v>
      </c>
    </row>
    <row r="407">
      <c r="A407" s="7" t="s">
        <v>1005</v>
      </c>
      <c r="B407" s="8" t="s">
        <v>1011</v>
      </c>
      <c r="C407" s="9"/>
      <c r="D407" s="10" t="s">
        <v>1007</v>
      </c>
      <c r="E407" s="10" t="s">
        <v>997</v>
      </c>
      <c r="F407" s="11" t="s">
        <v>36</v>
      </c>
      <c r="G407" s="12" t="s">
        <v>1012</v>
      </c>
      <c r="I407" s="13" t="str">
        <f>IFERROR(__xludf.DUMMYFUNCTION("if(isblank(A407),,split(A407,""ー""))"),"21-5")</f>
        <v>21-5</v>
      </c>
      <c r="K407" s="13" t="str">
        <f>IFERROR(__xludf.DUMMYFUNCTION("if(isblank(B407),,split(B407,""ー""))"),"21-14")</f>
        <v>21-14</v>
      </c>
    </row>
    <row r="408">
      <c r="A408" s="7" t="s">
        <v>1005</v>
      </c>
      <c r="B408" s="8" t="s">
        <v>1013</v>
      </c>
      <c r="C408" s="9"/>
      <c r="D408" s="10" t="s">
        <v>44</v>
      </c>
      <c r="E408" s="10" t="s">
        <v>997</v>
      </c>
      <c r="F408" s="11" t="s">
        <v>36</v>
      </c>
      <c r="G408" s="12" t="s">
        <v>1014</v>
      </c>
      <c r="I408" s="13" t="str">
        <f>IFERROR(__xludf.DUMMYFUNCTION("if(isblank(A408),,split(A408,""ー""))"),"21-5")</f>
        <v>21-5</v>
      </c>
      <c r="K408" s="13" t="str">
        <f>IFERROR(__xludf.DUMMYFUNCTION("if(isblank(B408),,split(B408,""ー""))"),"21-7")</f>
        <v>21-7</v>
      </c>
    </row>
    <row r="409">
      <c r="A409" s="7" t="s">
        <v>1013</v>
      </c>
      <c r="B409" s="8" t="s">
        <v>1006</v>
      </c>
      <c r="C409" s="9"/>
      <c r="D409" s="10" t="s">
        <v>1007</v>
      </c>
      <c r="E409" s="10" t="s">
        <v>997</v>
      </c>
      <c r="F409" s="11" t="s">
        <v>36</v>
      </c>
      <c r="G409" s="12" t="s">
        <v>1008</v>
      </c>
      <c r="I409" s="13" t="str">
        <f>IFERROR(__xludf.DUMMYFUNCTION("if(isblank(A409),,split(A409,""ー""))"),"21-7")</f>
        <v>21-7</v>
      </c>
      <c r="K409" s="13" t="str">
        <f>IFERROR(__xludf.DUMMYFUNCTION("if(isblank(B409),,split(B409,""ー""))"),"21-10")</f>
        <v>21-10</v>
      </c>
    </row>
    <row r="410">
      <c r="A410" s="7" t="s">
        <v>1013</v>
      </c>
      <c r="B410" s="8" t="s">
        <v>1009</v>
      </c>
      <c r="C410" s="9"/>
      <c r="D410" s="10" t="s">
        <v>1007</v>
      </c>
      <c r="E410" s="10" t="s">
        <v>997</v>
      </c>
      <c r="F410" s="11" t="s">
        <v>36</v>
      </c>
      <c r="G410" s="12" t="s">
        <v>1008</v>
      </c>
      <c r="I410" s="13" t="str">
        <f>IFERROR(__xludf.DUMMYFUNCTION("if(isblank(A410),,split(A410,""ー""))"),"21-7")</f>
        <v>21-7</v>
      </c>
      <c r="K410" s="13" t="str">
        <f>IFERROR(__xludf.DUMMYFUNCTION("if(isblank(B410),,split(B410,""ー""))"),"21-11")</f>
        <v>21-11</v>
      </c>
    </row>
    <row r="411">
      <c r="A411" s="7" t="s">
        <v>1013</v>
      </c>
      <c r="B411" s="8" t="s">
        <v>999</v>
      </c>
      <c r="C411" s="9"/>
      <c r="D411" s="10" t="s">
        <v>36</v>
      </c>
      <c r="E411" s="10" t="s">
        <v>997</v>
      </c>
      <c r="F411" s="11" t="s">
        <v>36</v>
      </c>
      <c r="G411" s="12" t="s">
        <v>1010</v>
      </c>
      <c r="I411" s="13" t="str">
        <f>IFERROR(__xludf.DUMMYFUNCTION("if(isblank(A411),,split(A411,""ー""))"),"21-7")</f>
        <v>21-7</v>
      </c>
      <c r="K411" s="13" t="str">
        <f>IFERROR(__xludf.DUMMYFUNCTION("if(isblank(B411),,split(B411,""ー""))"),"21-12")</f>
        <v>21-12</v>
      </c>
    </row>
    <row r="412">
      <c r="A412" s="7" t="s">
        <v>1013</v>
      </c>
      <c r="B412" s="8" t="s">
        <v>1015</v>
      </c>
      <c r="C412" s="9"/>
      <c r="D412" s="10" t="s">
        <v>1007</v>
      </c>
      <c r="E412" s="10" t="s">
        <v>997</v>
      </c>
      <c r="F412" s="11" t="s">
        <v>36</v>
      </c>
      <c r="G412" s="12" t="s">
        <v>1012</v>
      </c>
      <c r="I412" s="13" t="str">
        <f>IFERROR(__xludf.DUMMYFUNCTION("if(isblank(A412),,split(A412,""ー""))"),"21-7")</f>
        <v>21-7</v>
      </c>
      <c r="K412" s="13" t="str">
        <f>IFERROR(__xludf.DUMMYFUNCTION("if(isblank(B412),,split(B412,""ー""))"),"21-13")</f>
        <v>21-13</v>
      </c>
    </row>
    <row r="413">
      <c r="A413" s="7" t="s">
        <v>1013</v>
      </c>
      <c r="B413" s="8" t="s">
        <v>1011</v>
      </c>
      <c r="C413" s="9"/>
      <c r="D413" s="10" t="s">
        <v>1007</v>
      </c>
      <c r="E413" s="10" t="s">
        <v>997</v>
      </c>
      <c r="F413" s="11" t="s">
        <v>36</v>
      </c>
      <c r="G413" s="12" t="s">
        <v>1012</v>
      </c>
      <c r="I413" s="13" t="str">
        <f>IFERROR(__xludf.DUMMYFUNCTION("if(isblank(A413),,split(A413,""ー""))"),"21-7")</f>
        <v>21-7</v>
      </c>
      <c r="K413" s="13" t="str">
        <f>IFERROR(__xludf.DUMMYFUNCTION("if(isblank(B413),,split(B413,""ー""))"),"21-14")</f>
        <v>21-14</v>
      </c>
    </row>
    <row r="414">
      <c r="A414" s="89" t="s">
        <v>1016</v>
      </c>
      <c r="B414" s="45" t="s">
        <v>1017</v>
      </c>
      <c r="C414" s="9"/>
      <c r="D414" s="66" t="s">
        <v>36</v>
      </c>
      <c r="E414" s="10" t="s">
        <v>997</v>
      </c>
      <c r="F414" s="11" t="s">
        <v>1018</v>
      </c>
      <c r="G414" s="12" t="s">
        <v>1019</v>
      </c>
      <c r="I414" s="13" t="str">
        <f>IFERROR(__xludf.DUMMYFUNCTION("if(isblank(A414),,split(A414,""ー""))"),"21-8")</f>
        <v>21-8</v>
      </c>
      <c r="K414" s="13" t="str">
        <f>IFERROR(__xludf.DUMMYFUNCTION("if(isblank(B414),,split(B414,""ー""))"),"21-9")</f>
        <v>21-9</v>
      </c>
    </row>
    <row r="415">
      <c r="A415" s="15" t="s">
        <v>1020</v>
      </c>
      <c r="B415" s="16" t="s">
        <v>464</v>
      </c>
      <c r="C415" s="9">
        <v>43883.0</v>
      </c>
      <c r="D415" s="10" t="s">
        <v>282</v>
      </c>
      <c r="E415" s="10" t="s">
        <v>36</v>
      </c>
      <c r="F415" s="11" t="s">
        <v>283</v>
      </c>
      <c r="G415" s="68" t="s">
        <v>1021</v>
      </c>
      <c r="I415" s="13" t="str">
        <f>IFERROR(__xludf.DUMMYFUNCTION("if(isblank(A415),,split(A415,""ー""))"),"22-3")</f>
        <v>22-3</v>
      </c>
      <c r="K415" s="38">
        <f>IFERROR(__xludf.DUMMYFUNCTION("if(isblank(B415),,split(B415,""ー""))"),44190.0)</f>
        <v>44190</v>
      </c>
    </row>
    <row r="416">
      <c r="A416" s="15" t="s">
        <v>1022</v>
      </c>
      <c r="B416" s="16" t="s">
        <v>1023</v>
      </c>
      <c r="C416" s="9"/>
      <c r="D416" s="10" t="s">
        <v>165</v>
      </c>
      <c r="E416" s="10" t="s">
        <v>1024</v>
      </c>
      <c r="F416" s="11" t="s">
        <v>1025</v>
      </c>
      <c r="G416" s="68" t="s">
        <v>1026</v>
      </c>
      <c r="I416" s="13" t="str">
        <f>IFERROR(__xludf.DUMMYFUNCTION("if(isblank(A416),,split(A416,""ー""))"),"22-5")</f>
        <v>22-5</v>
      </c>
      <c r="K416" s="13" t="str">
        <f>IFERROR(__xludf.DUMMYFUNCTION("if(isblank(B416),,split(B416,""ー""))"),"22-6")</f>
        <v>22-6</v>
      </c>
    </row>
    <row r="417">
      <c r="A417" s="15" t="s">
        <v>1022</v>
      </c>
      <c r="B417" s="16" t="s">
        <v>1027</v>
      </c>
      <c r="C417" s="9"/>
      <c r="D417" s="10" t="s">
        <v>165</v>
      </c>
      <c r="E417" s="10" t="s">
        <v>1024</v>
      </c>
      <c r="F417" s="11" t="s">
        <v>1025</v>
      </c>
      <c r="G417" s="68" t="s">
        <v>1026</v>
      </c>
      <c r="I417" s="13" t="str">
        <f>IFERROR(__xludf.DUMMYFUNCTION("if(isblank(A417),,split(A417,""ー""))"),"22-5")</f>
        <v>22-5</v>
      </c>
      <c r="K417" s="13" t="str">
        <f>IFERROR(__xludf.DUMMYFUNCTION("if(isblank(B417),,split(B417,""ー""))"),"22-7")</f>
        <v>22-7</v>
      </c>
    </row>
    <row r="418">
      <c r="A418" s="15" t="s">
        <v>1022</v>
      </c>
      <c r="B418" s="16" t="s">
        <v>1028</v>
      </c>
      <c r="C418" s="9"/>
      <c r="D418" s="10" t="s">
        <v>165</v>
      </c>
      <c r="E418" s="10" t="s">
        <v>1024</v>
      </c>
      <c r="F418" s="11" t="s">
        <v>1025</v>
      </c>
      <c r="G418" s="68" t="s">
        <v>1026</v>
      </c>
      <c r="I418" s="13" t="str">
        <f>IFERROR(__xludf.DUMMYFUNCTION("if(isblank(A418),,split(A418,""ー""))"),"22-5")</f>
        <v>22-5</v>
      </c>
      <c r="K418" s="13" t="str">
        <f>IFERROR(__xludf.DUMMYFUNCTION("if(isblank(B418),,split(B418,""ー""))"),"22-8")</f>
        <v>22-8</v>
      </c>
    </row>
    <row r="419">
      <c r="A419" s="15" t="s">
        <v>129</v>
      </c>
      <c r="B419" s="16" t="s">
        <v>130</v>
      </c>
      <c r="C419" s="9"/>
      <c r="D419" s="10" t="s">
        <v>308</v>
      </c>
      <c r="E419" s="10" t="s">
        <v>45</v>
      </c>
      <c r="F419" s="11" t="s">
        <v>1029</v>
      </c>
      <c r="G419" s="68" t="s">
        <v>1030</v>
      </c>
      <c r="I419" s="13" t="str">
        <f>IFERROR(__xludf.DUMMYFUNCTION("if(isblank(A419),,split(A419,""ー""))"),"23-103")</f>
        <v>23-103</v>
      </c>
      <c r="K419" s="13" t="str">
        <f>IFERROR(__xludf.DUMMYFUNCTION("if(isblank(B419),,split(B419,""ー""))"),"23-104")</f>
        <v>23-104</v>
      </c>
    </row>
    <row r="420">
      <c r="A420" s="15" t="s">
        <v>185</v>
      </c>
      <c r="B420" s="16" t="s">
        <v>228</v>
      </c>
      <c r="C420" s="9"/>
      <c r="D420" s="10" t="s">
        <v>36</v>
      </c>
      <c r="E420" s="10" t="s">
        <v>45</v>
      </c>
      <c r="F420" s="11" t="s">
        <v>36</v>
      </c>
      <c r="G420" s="49" t="s">
        <v>1031</v>
      </c>
      <c r="I420" s="13" t="str">
        <f>IFERROR(__xludf.DUMMYFUNCTION("if(isblank(A420),,split(A420,""ー""))"),"23-107")</f>
        <v>23-107</v>
      </c>
      <c r="K420" s="13" t="str">
        <f>IFERROR(__xludf.DUMMYFUNCTION("if(isblank(B420),,split(B420,""ー""))"),"23-137")</f>
        <v>23-137</v>
      </c>
    </row>
    <row r="421">
      <c r="A421" s="15" t="s">
        <v>379</v>
      </c>
      <c r="B421" s="16" t="s">
        <v>382</v>
      </c>
      <c r="C421" s="9"/>
      <c r="D421" s="10" t="s">
        <v>1032</v>
      </c>
      <c r="E421" s="10" t="s">
        <v>45</v>
      </c>
      <c r="F421" s="11" t="s">
        <v>1033</v>
      </c>
      <c r="G421" s="68" t="s">
        <v>1034</v>
      </c>
      <c r="I421" s="13" t="str">
        <f>IFERROR(__xludf.DUMMYFUNCTION("if(isblank(A421),,split(A421,""ー""))"),"23-111")</f>
        <v>23-111</v>
      </c>
      <c r="K421" s="13" t="str">
        <f>IFERROR(__xludf.DUMMYFUNCTION("if(isblank(B421),,split(B421,""ー""))"),"23-121")</f>
        <v>23-121</v>
      </c>
    </row>
    <row r="422">
      <c r="A422" s="15" t="s">
        <v>210</v>
      </c>
      <c r="B422" s="16" t="s">
        <v>213</v>
      </c>
      <c r="C422" s="9"/>
      <c r="D422" s="10" t="s">
        <v>36</v>
      </c>
      <c r="E422" s="10" t="s">
        <v>45</v>
      </c>
      <c r="F422" s="11" t="s">
        <v>36</v>
      </c>
      <c r="G422" s="12" t="s">
        <v>1035</v>
      </c>
      <c r="I422" s="13" t="str">
        <f>IFERROR(__xludf.DUMMYFUNCTION("if(isblank(A422),,split(A422,""ー""))"),"23-115")</f>
        <v>23-115</v>
      </c>
      <c r="K422" s="13" t="str">
        <f>IFERROR(__xludf.DUMMYFUNCTION("if(isblank(B422),,split(B422,""ー""))"),"23-116")</f>
        <v>23-116</v>
      </c>
    </row>
    <row r="423">
      <c r="A423" s="15" t="s">
        <v>324</v>
      </c>
      <c r="B423" s="16" t="s">
        <v>329</v>
      </c>
      <c r="C423" s="9"/>
      <c r="D423" s="10" t="s">
        <v>36</v>
      </c>
      <c r="E423" s="10" t="s">
        <v>45</v>
      </c>
      <c r="F423" s="11" t="s">
        <v>36</v>
      </c>
      <c r="G423" s="49" t="s">
        <v>1036</v>
      </c>
      <c r="I423" s="13" t="str">
        <f>IFERROR(__xludf.DUMMYFUNCTION("if(isblank(A423),,split(A423,""ー""))"),"23-119")</f>
        <v>23-119</v>
      </c>
      <c r="K423" s="13" t="str">
        <f>IFERROR(__xludf.DUMMYFUNCTION("if(isblank(B423),,split(B423,""ー""))"),"23-125")</f>
        <v>23-125</v>
      </c>
    </row>
    <row r="424">
      <c r="A424" s="15" t="s">
        <v>350</v>
      </c>
      <c r="B424" s="16" t="s">
        <v>351</v>
      </c>
      <c r="C424" s="9"/>
      <c r="D424" s="10" t="s">
        <v>308</v>
      </c>
      <c r="E424" s="10" t="s">
        <v>45</v>
      </c>
      <c r="F424" s="11" t="s">
        <v>36</v>
      </c>
      <c r="G424" s="49" t="s">
        <v>1037</v>
      </c>
      <c r="I424" s="13" t="str">
        <f>IFERROR(__xludf.DUMMYFUNCTION("if(isblank(A424),,split(A424,""ー""))"),"23-122")</f>
        <v>23-122</v>
      </c>
      <c r="K424" s="13" t="str">
        <f>IFERROR(__xludf.DUMMYFUNCTION("if(isblank(B424),,split(B424,""ー""))"),"23-126")</f>
        <v>23-126</v>
      </c>
    </row>
    <row r="425">
      <c r="A425" s="15" t="s">
        <v>350</v>
      </c>
      <c r="B425" s="16" t="s">
        <v>357</v>
      </c>
      <c r="C425" s="9"/>
      <c r="D425" s="10" t="s">
        <v>308</v>
      </c>
      <c r="E425" s="10" t="s">
        <v>45</v>
      </c>
      <c r="F425" s="11" t="s">
        <v>36</v>
      </c>
      <c r="G425" s="49" t="s">
        <v>1037</v>
      </c>
      <c r="I425" s="13" t="str">
        <f>IFERROR(__xludf.DUMMYFUNCTION("if(isblank(A425),,split(A425,""ー""))"),"23-122")</f>
        <v>23-122</v>
      </c>
      <c r="K425" s="13" t="str">
        <f>IFERROR(__xludf.DUMMYFUNCTION("if(isblank(B425),,split(B425,""ー""))"),"23-127")</f>
        <v>23-127</v>
      </c>
    </row>
    <row r="426">
      <c r="A426" s="15" t="s">
        <v>388</v>
      </c>
      <c r="B426" s="16" t="s">
        <v>389</v>
      </c>
      <c r="C426" s="9"/>
      <c r="D426" s="10" t="s">
        <v>36</v>
      </c>
      <c r="E426" s="10" t="s">
        <v>45</v>
      </c>
      <c r="F426" s="11" t="s">
        <v>36</v>
      </c>
      <c r="G426" s="49" t="s">
        <v>1038</v>
      </c>
      <c r="I426" s="13" t="str">
        <f>IFERROR(__xludf.DUMMYFUNCTION("if(isblank(A426),,split(A426,""ー""))"),"23-124")</f>
        <v>23-124</v>
      </c>
      <c r="K426" s="13" t="str">
        <f>IFERROR(__xludf.DUMMYFUNCTION("if(isblank(B426),,split(B426,""ー""))"),"23-130")</f>
        <v>23-130</v>
      </c>
    </row>
    <row r="427">
      <c r="A427" s="15" t="s">
        <v>1039</v>
      </c>
      <c r="B427" s="16" t="s">
        <v>395</v>
      </c>
      <c r="C427" s="9"/>
      <c r="D427" s="10" t="s">
        <v>1040</v>
      </c>
      <c r="E427" s="10" t="s">
        <v>45</v>
      </c>
      <c r="F427" s="11" t="s">
        <v>396</v>
      </c>
      <c r="G427" s="12" t="s">
        <v>1041</v>
      </c>
      <c r="I427" s="13" t="str">
        <f>IFERROR(__xludf.DUMMYFUNCTION("if(isblank(A427),,split(A427,""ー""))"),"23-131")</f>
        <v>23-131</v>
      </c>
      <c r="K427" s="13" t="str">
        <f>IFERROR(__xludf.DUMMYFUNCTION("if(isblank(B427),,split(B427,""ー""))"),"23-142")</f>
        <v>23-142</v>
      </c>
    </row>
    <row r="428">
      <c r="A428" s="15" t="s">
        <v>392</v>
      </c>
      <c r="B428" s="16" t="s">
        <v>1042</v>
      </c>
      <c r="C428" s="9"/>
      <c r="D428" s="10" t="s">
        <v>1043</v>
      </c>
      <c r="E428" s="10" t="s">
        <v>45</v>
      </c>
      <c r="F428" s="11" t="s">
        <v>1044</v>
      </c>
      <c r="G428" s="12" t="s">
        <v>1045</v>
      </c>
      <c r="I428" s="13" t="str">
        <f>IFERROR(__xludf.DUMMYFUNCTION("if(isblank(A428),,split(A428,""ー""))"),"23-134")</f>
        <v>23-134</v>
      </c>
      <c r="K428" s="13" t="str">
        <f>IFERROR(__xludf.DUMMYFUNCTION("if(isblank(B428),,split(B428,""ー""))"),"23-143")</f>
        <v>23-143</v>
      </c>
    </row>
    <row r="429">
      <c r="A429" s="15" t="s">
        <v>392</v>
      </c>
      <c r="B429" s="16" t="s">
        <v>393</v>
      </c>
      <c r="C429" s="9"/>
      <c r="D429" s="10" t="s">
        <v>360</v>
      </c>
      <c r="E429" s="10" t="s">
        <v>45</v>
      </c>
      <c r="F429" s="11" t="s">
        <v>36</v>
      </c>
      <c r="G429" s="49" t="s">
        <v>1046</v>
      </c>
      <c r="I429" s="13" t="str">
        <f>IFERROR(__xludf.DUMMYFUNCTION("if(isblank(A429),,split(A429,""ー""))"),"23-134")</f>
        <v>23-134</v>
      </c>
      <c r="K429" s="13" t="str">
        <f>IFERROR(__xludf.DUMMYFUNCTION("if(isblank(B429),,split(B429,""ー""))"),"23-148")</f>
        <v>23-148</v>
      </c>
    </row>
    <row r="430">
      <c r="A430" s="15" t="s">
        <v>392</v>
      </c>
      <c r="B430" s="16" t="s">
        <v>1047</v>
      </c>
      <c r="C430" s="9"/>
      <c r="D430" s="10" t="s">
        <v>882</v>
      </c>
      <c r="E430" s="10" t="s">
        <v>45</v>
      </c>
      <c r="F430" s="11" t="s">
        <v>1044</v>
      </c>
      <c r="G430" s="49" t="s">
        <v>1048</v>
      </c>
      <c r="I430" s="13" t="str">
        <f>IFERROR(__xludf.DUMMYFUNCTION("if(isblank(A430),,split(A430,""ー""))"),"23-134")</f>
        <v>23-134</v>
      </c>
      <c r="K430" s="13" t="str">
        <f>IFERROR(__xludf.DUMMYFUNCTION("if(isblank(B430),,split(B430,""ー""))"),"23-154")</f>
        <v>23-154</v>
      </c>
    </row>
    <row r="431">
      <c r="A431" s="15" t="s">
        <v>392</v>
      </c>
      <c r="B431" s="16" t="s">
        <v>1049</v>
      </c>
      <c r="C431" s="9"/>
      <c r="D431" s="10" t="s">
        <v>882</v>
      </c>
      <c r="E431" s="10" t="s">
        <v>45</v>
      </c>
      <c r="F431" s="11" t="s">
        <v>1044</v>
      </c>
      <c r="G431" s="49" t="s">
        <v>1050</v>
      </c>
      <c r="I431" s="13" t="str">
        <f>IFERROR(__xludf.DUMMYFUNCTION("if(isblank(A431),,split(A431,""ー""))"),"23-134")</f>
        <v>23-134</v>
      </c>
      <c r="K431" s="13" t="str">
        <f>IFERROR(__xludf.DUMMYFUNCTION("if(isblank(B431),,split(B431,""ー""))"),"23-160")</f>
        <v>23-160</v>
      </c>
    </row>
    <row r="432">
      <c r="A432" s="15" t="s">
        <v>108</v>
      </c>
      <c r="B432" s="90" t="s">
        <v>116</v>
      </c>
      <c r="C432" s="9"/>
      <c r="D432" s="10" t="s">
        <v>1051</v>
      </c>
      <c r="E432" s="10" t="s">
        <v>45</v>
      </c>
      <c r="F432" s="11" t="s">
        <v>1052</v>
      </c>
      <c r="G432" s="64" t="s">
        <v>1053</v>
      </c>
      <c r="I432" s="13" t="str">
        <f>IFERROR(__xludf.DUMMYFUNCTION("if(isblank(A432),,split(A432,""ー""))"),"23-14")</f>
        <v>23-14</v>
      </c>
      <c r="K432" s="13" t="str">
        <f>IFERROR(__xludf.DUMMYFUNCTION("if(isblank(B432),,split(B432,""ー""))"),"23-27")</f>
        <v>23-27</v>
      </c>
    </row>
    <row r="433">
      <c r="A433" s="15" t="s">
        <v>363</v>
      </c>
      <c r="B433" s="16" t="s">
        <v>364</v>
      </c>
      <c r="C433" s="9"/>
      <c r="D433" s="10" t="s">
        <v>308</v>
      </c>
      <c r="E433" s="10" t="s">
        <v>45</v>
      </c>
      <c r="F433" s="11" t="s">
        <v>36</v>
      </c>
      <c r="G433" s="49" t="s">
        <v>1054</v>
      </c>
      <c r="I433" s="13" t="str">
        <f>IFERROR(__xludf.DUMMYFUNCTION("if(isblank(A433),,split(A433,""ー""))"),"23-140")</f>
        <v>23-140</v>
      </c>
      <c r="K433" s="13" t="str">
        <f>IFERROR(__xludf.DUMMYFUNCTION("if(isblank(B433),,split(B433,""ー""))"),"23-141")</f>
        <v>23-141</v>
      </c>
    </row>
    <row r="434">
      <c r="A434" s="15" t="s">
        <v>1055</v>
      </c>
      <c r="B434" s="16" t="s">
        <v>1056</v>
      </c>
      <c r="C434" s="9"/>
      <c r="D434" s="10" t="s">
        <v>30</v>
      </c>
      <c r="E434" s="10" t="s">
        <v>45</v>
      </c>
      <c r="F434" s="11" t="s">
        <v>36</v>
      </c>
      <c r="G434" s="49" t="s">
        <v>1057</v>
      </c>
      <c r="I434" s="13" t="str">
        <f>IFERROR(__xludf.DUMMYFUNCTION("if(isblank(A434),,split(A434,""ー""))"),"23-145")</f>
        <v>23-145</v>
      </c>
      <c r="K434" s="13" t="str">
        <f>IFERROR(__xludf.DUMMYFUNCTION("if(isblank(B434),,split(B434,""ー""))"),"23-150")</f>
        <v>23-150</v>
      </c>
    </row>
    <row r="435">
      <c r="A435" s="15" t="s">
        <v>1055</v>
      </c>
      <c r="B435" s="16" t="s">
        <v>1058</v>
      </c>
      <c r="C435" s="9"/>
      <c r="D435" s="10" t="s">
        <v>30</v>
      </c>
      <c r="E435" s="10" t="s">
        <v>45</v>
      </c>
      <c r="F435" s="11" t="s">
        <v>36</v>
      </c>
      <c r="G435" s="49" t="s">
        <v>1057</v>
      </c>
      <c r="I435" s="13" t="str">
        <f>IFERROR(__xludf.DUMMYFUNCTION("if(isblank(A435),,split(A435,""ー""))"),"23-145")</f>
        <v>23-145</v>
      </c>
      <c r="K435" s="13" t="str">
        <f>IFERROR(__xludf.DUMMYFUNCTION("if(isblank(B435),,split(B435,""ー""))"),"23-151")</f>
        <v>23-151</v>
      </c>
    </row>
    <row r="436">
      <c r="A436" s="15" t="s">
        <v>1055</v>
      </c>
      <c r="B436" s="16" t="s">
        <v>1059</v>
      </c>
      <c r="C436" s="9"/>
      <c r="D436" s="10" t="s">
        <v>1051</v>
      </c>
      <c r="E436" s="10" t="s">
        <v>45</v>
      </c>
      <c r="F436" s="11" t="s">
        <v>1060</v>
      </c>
      <c r="G436" s="49" t="s">
        <v>1061</v>
      </c>
      <c r="I436" s="13" t="str">
        <f>IFERROR(__xludf.DUMMYFUNCTION("if(isblank(A436),,split(A436,""ー""))"),"23-145")</f>
        <v>23-145</v>
      </c>
      <c r="K436" s="13" t="str">
        <f>IFERROR(__xludf.DUMMYFUNCTION("if(isblank(B436),,split(B436,""ー""))"),"23-158")</f>
        <v>23-158</v>
      </c>
    </row>
    <row r="437">
      <c r="A437" s="15" t="s">
        <v>333</v>
      </c>
      <c r="B437" s="16" t="s">
        <v>336</v>
      </c>
      <c r="C437" s="9"/>
      <c r="D437" s="10" t="s">
        <v>308</v>
      </c>
      <c r="E437" s="10" t="s">
        <v>45</v>
      </c>
      <c r="F437" s="11" t="s">
        <v>36</v>
      </c>
      <c r="G437" s="49" t="s">
        <v>1062</v>
      </c>
      <c r="I437" s="13" t="str">
        <f>IFERROR(__xludf.DUMMYFUNCTION("if(isblank(A437),,split(A437,""ー""))"),"23-146")</f>
        <v>23-146</v>
      </c>
      <c r="K437" s="13" t="str">
        <f>IFERROR(__xludf.DUMMYFUNCTION("if(isblank(B437),,split(B437,""ー""))"),"23-147")</f>
        <v>23-147</v>
      </c>
    </row>
    <row r="438">
      <c r="A438" s="15" t="s">
        <v>333</v>
      </c>
      <c r="B438" s="16" t="s">
        <v>334</v>
      </c>
      <c r="C438" s="9"/>
      <c r="D438" s="10" t="s">
        <v>308</v>
      </c>
      <c r="E438" s="10" t="s">
        <v>45</v>
      </c>
      <c r="F438" s="11" t="s">
        <v>36</v>
      </c>
      <c r="G438" s="49" t="s">
        <v>1057</v>
      </c>
      <c r="I438" s="13" t="str">
        <f>IFERROR(__xludf.DUMMYFUNCTION("if(isblank(A438),,split(A438,""ー""))"),"23-146")</f>
        <v>23-146</v>
      </c>
      <c r="K438" s="13" t="str">
        <f>IFERROR(__xludf.DUMMYFUNCTION("if(isblank(B438),,split(B438,""ー""))"),"23-149")</f>
        <v>23-149</v>
      </c>
    </row>
    <row r="439">
      <c r="A439" s="15" t="s">
        <v>1056</v>
      </c>
      <c r="B439" s="16" t="s">
        <v>1059</v>
      </c>
      <c r="C439" s="9"/>
      <c r="D439" s="10" t="s">
        <v>1051</v>
      </c>
      <c r="E439" s="10" t="s">
        <v>45</v>
      </c>
      <c r="F439" s="11" t="s">
        <v>1060</v>
      </c>
      <c r="G439" s="49" t="s">
        <v>1061</v>
      </c>
      <c r="I439" s="13" t="str">
        <f>IFERROR(__xludf.DUMMYFUNCTION("if(isblank(A439),,split(A439,""ー""))"),"23-150")</f>
        <v>23-150</v>
      </c>
      <c r="K439" s="13" t="str">
        <f>IFERROR(__xludf.DUMMYFUNCTION("if(isblank(B439),,split(B439,""ー""))"),"23-158")</f>
        <v>23-158</v>
      </c>
    </row>
    <row r="440">
      <c r="A440" s="15" t="s">
        <v>1058</v>
      </c>
      <c r="B440" s="16" t="s">
        <v>1059</v>
      </c>
      <c r="C440" s="9"/>
      <c r="D440" s="10" t="s">
        <v>1051</v>
      </c>
      <c r="E440" s="10" t="s">
        <v>45</v>
      </c>
      <c r="F440" s="11" t="s">
        <v>1060</v>
      </c>
      <c r="G440" s="49" t="s">
        <v>1061</v>
      </c>
      <c r="I440" s="13" t="str">
        <f>IFERROR(__xludf.DUMMYFUNCTION("if(isblank(A440),,split(A440,""ー""))"),"23-151")</f>
        <v>23-151</v>
      </c>
      <c r="K440" s="13" t="str">
        <f>IFERROR(__xludf.DUMMYFUNCTION("if(isblank(B440),,split(B440,""ー""))"),"23-158")</f>
        <v>23-158</v>
      </c>
    </row>
    <row r="441">
      <c r="A441" s="15" t="s">
        <v>1063</v>
      </c>
      <c r="B441" s="16" t="s">
        <v>1006</v>
      </c>
      <c r="C441" s="9"/>
      <c r="D441" s="10" t="s">
        <v>1064</v>
      </c>
      <c r="E441" s="10" t="s">
        <v>45</v>
      </c>
      <c r="F441" s="11" t="s">
        <v>36</v>
      </c>
      <c r="G441" s="49" t="s">
        <v>1057</v>
      </c>
      <c r="I441" s="13" t="str">
        <f>IFERROR(__xludf.DUMMYFUNCTION("if(isblank(A441),,split(A441,""ー""))"),"23-152")</f>
        <v>23-152</v>
      </c>
      <c r="K441" s="13" t="str">
        <f>IFERROR(__xludf.DUMMYFUNCTION("if(isblank(B441),,split(B441,""ー""))"),"21-10")</f>
        <v>21-10</v>
      </c>
    </row>
    <row r="442">
      <c r="A442" s="15" t="s">
        <v>1063</v>
      </c>
      <c r="B442" s="16" t="s">
        <v>1009</v>
      </c>
      <c r="C442" s="9"/>
      <c r="D442" s="10" t="s">
        <v>1064</v>
      </c>
      <c r="E442" s="10" t="s">
        <v>45</v>
      </c>
      <c r="F442" s="11" t="s">
        <v>36</v>
      </c>
      <c r="G442" s="49" t="s">
        <v>1057</v>
      </c>
      <c r="I442" s="13" t="str">
        <f>IFERROR(__xludf.DUMMYFUNCTION("if(isblank(A442),,split(A442,""ー""))"),"23-152")</f>
        <v>23-152</v>
      </c>
      <c r="K442" s="13" t="str">
        <f>IFERROR(__xludf.DUMMYFUNCTION("if(isblank(B442),,split(B442,""ー""))"),"21-11")</f>
        <v>21-11</v>
      </c>
    </row>
    <row r="443">
      <c r="A443" s="15" t="s">
        <v>1063</v>
      </c>
      <c r="B443" s="16" t="s">
        <v>1005</v>
      </c>
      <c r="C443" s="9"/>
      <c r="D443" s="10" t="s">
        <v>1064</v>
      </c>
      <c r="E443" s="10" t="s">
        <v>45</v>
      </c>
      <c r="F443" s="11" t="s">
        <v>36</v>
      </c>
      <c r="G443" s="49" t="s">
        <v>1057</v>
      </c>
      <c r="I443" s="13" t="str">
        <f>IFERROR(__xludf.DUMMYFUNCTION("if(isblank(A443),,split(A443,""ー""))"),"23-152")</f>
        <v>23-152</v>
      </c>
      <c r="K443" s="13" t="str">
        <f>IFERROR(__xludf.DUMMYFUNCTION("if(isblank(B443),,split(B443,""ー""))"),"21-5")</f>
        <v>21-5</v>
      </c>
    </row>
    <row r="444">
      <c r="A444" s="15" t="s">
        <v>1063</v>
      </c>
      <c r="B444" s="16" t="s">
        <v>1013</v>
      </c>
      <c r="C444" s="9"/>
      <c r="D444" s="10" t="s">
        <v>1064</v>
      </c>
      <c r="E444" s="10" t="s">
        <v>45</v>
      </c>
      <c r="F444" s="11" t="s">
        <v>36</v>
      </c>
      <c r="G444" s="49" t="s">
        <v>1057</v>
      </c>
      <c r="I444" s="13" t="str">
        <f>IFERROR(__xludf.DUMMYFUNCTION("if(isblank(A444),,split(A444,""ー""))"),"23-152")</f>
        <v>23-152</v>
      </c>
      <c r="K444" s="13" t="str">
        <f>IFERROR(__xludf.DUMMYFUNCTION("if(isblank(B444),,split(B444,""ー""))"),"21-7")</f>
        <v>21-7</v>
      </c>
    </row>
    <row r="445">
      <c r="A445" s="15" t="s">
        <v>366</v>
      </c>
      <c r="B445" s="16" t="s">
        <v>1065</v>
      </c>
      <c r="C445" s="9">
        <v>43894.0</v>
      </c>
      <c r="D445" s="10" t="s">
        <v>36</v>
      </c>
      <c r="E445" s="10" t="s">
        <v>45</v>
      </c>
      <c r="F445" s="11" t="s">
        <v>1066</v>
      </c>
      <c r="G445" s="91" t="s">
        <v>1067</v>
      </c>
      <c r="I445" s="13" t="str">
        <f>IFERROR(__xludf.DUMMYFUNCTION("if(isblank(A445),,split(A445,""ー""))"),"23-155")</f>
        <v>23-155</v>
      </c>
      <c r="K445" s="13" t="str">
        <f>IFERROR(__xludf.DUMMYFUNCTION("if(isblank(B445),,split(B445,""ー""))"),"23-161")</f>
        <v>23-161</v>
      </c>
    </row>
    <row r="446">
      <c r="A446" s="15" t="s">
        <v>366</v>
      </c>
      <c r="B446" s="16" t="s">
        <v>367</v>
      </c>
      <c r="C446" s="9">
        <v>43894.0</v>
      </c>
      <c r="D446" s="10" t="s">
        <v>308</v>
      </c>
      <c r="E446" s="10" t="s">
        <v>45</v>
      </c>
      <c r="F446" s="11" t="s">
        <v>1066</v>
      </c>
      <c r="G446" s="91" t="s">
        <v>1068</v>
      </c>
      <c r="I446" s="13" t="str">
        <f>IFERROR(__xludf.DUMMYFUNCTION("if(isblank(A446),,split(A446,""ー""))"),"23-155")</f>
        <v>23-155</v>
      </c>
      <c r="K446" s="13" t="str">
        <f>IFERROR(__xludf.DUMMYFUNCTION("if(isblank(B446),,split(B446,""ー""))"),"23-163")</f>
        <v>23-163</v>
      </c>
    </row>
    <row r="447">
      <c r="A447" s="15" t="s">
        <v>1069</v>
      </c>
      <c r="B447" s="16" t="s">
        <v>999</v>
      </c>
      <c r="C447" s="9"/>
      <c r="D447" s="10" t="s">
        <v>1070</v>
      </c>
      <c r="E447" s="10" t="s">
        <v>45</v>
      </c>
      <c r="F447" s="11" t="s">
        <v>1071</v>
      </c>
      <c r="G447" s="91" t="s">
        <v>1061</v>
      </c>
      <c r="I447" s="13" t="str">
        <f>IFERROR(__xludf.DUMMYFUNCTION("if(isblank(A447),,split(A447,""ー""))"),"23-159")</f>
        <v>23-159</v>
      </c>
      <c r="K447" s="13" t="str">
        <f>IFERROR(__xludf.DUMMYFUNCTION("if(isblank(B447),,split(B447,""ー""))"),"21-12")</f>
        <v>21-12</v>
      </c>
    </row>
    <row r="448">
      <c r="A448" s="15" t="s">
        <v>1069</v>
      </c>
      <c r="B448" s="16" t="s">
        <v>1015</v>
      </c>
      <c r="C448" s="9"/>
      <c r="D448" s="10" t="s">
        <v>1070</v>
      </c>
      <c r="E448" s="10" t="s">
        <v>45</v>
      </c>
      <c r="F448" s="11" t="s">
        <v>1071</v>
      </c>
      <c r="G448" s="91" t="s">
        <v>1061</v>
      </c>
      <c r="I448" s="13" t="str">
        <f>IFERROR(__xludf.DUMMYFUNCTION("if(isblank(A448),,split(A448,""ー""))"),"23-159")</f>
        <v>23-159</v>
      </c>
      <c r="K448" s="13" t="str">
        <f>IFERROR(__xludf.DUMMYFUNCTION("if(isblank(B448),,split(B448,""ー""))"),"21-13")</f>
        <v>21-13</v>
      </c>
    </row>
    <row r="449">
      <c r="A449" s="15" t="s">
        <v>1069</v>
      </c>
      <c r="B449" s="16" t="s">
        <v>1072</v>
      </c>
      <c r="C449" s="9"/>
      <c r="D449" s="10" t="s">
        <v>1070</v>
      </c>
      <c r="E449" s="10" t="s">
        <v>45</v>
      </c>
      <c r="F449" s="11" t="s">
        <v>1071</v>
      </c>
      <c r="G449" s="49" t="s">
        <v>1061</v>
      </c>
      <c r="I449" s="13" t="str">
        <f>IFERROR(__xludf.DUMMYFUNCTION("if(isblank(A449),,split(A449,""ー""))"),"23-159")</f>
        <v>23-159</v>
      </c>
      <c r="K449" s="13" t="str">
        <f>IFERROR(__xludf.DUMMYFUNCTION("if(isblank(B449),,split(B449,""ー""))"),"21-16")</f>
        <v>21-16</v>
      </c>
    </row>
    <row r="450">
      <c r="A450" s="15" t="s">
        <v>1069</v>
      </c>
      <c r="B450" s="16" t="s">
        <v>1005</v>
      </c>
      <c r="C450" s="9"/>
      <c r="D450" s="10" t="s">
        <v>1070</v>
      </c>
      <c r="E450" s="10" t="s">
        <v>45</v>
      </c>
      <c r="F450" s="11" t="s">
        <v>1071</v>
      </c>
      <c r="G450" s="49" t="s">
        <v>1061</v>
      </c>
      <c r="I450" s="13" t="str">
        <f>IFERROR(__xludf.DUMMYFUNCTION("if(isblank(A450),,split(A450,""ー""))"),"23-159")</f>
        <v>23-159</v>
      </c>
      <c r="K450" s="13" t="str">
        <f>IFERROR(__xludf.DUMMYFUNCTION("if(isblank(B450),,split(B450,""ー""))"),"21-5")</f>
        <v>21-5</v>
      </c>
    </row>
    <row r="451">
      <c r="A451" s="15" t="s">
        <v>1069</v>
      </c>
      <c r="B451" s="16" t="s">
        <v>1013</v>
      </c>
      <c r="C451" s="9"/>
      <c r="D451" s="10" t="s">
        <v>1070</v>
      </c>
      <c r="E451" s="10" t="s">
        <v>45</v>
      </c>
      <c r="F451" s="11" t="s">
        <v>1071</v>
      </c>
      <c r="G451" s="49" t="s">
        <v>1061</v>
      </c>
      <c r="I451" s="13" t="str">
        <f>IFERROR(__xludf.DUMMYFUNCTION("if(isblank(A451),,split(A451,""ー""))"),"23-159")</f>
        <v>23-159</v>
      </c>
      <c r="K451" s="13" t="str">
        <f>IFERROR(__xludf.DUMMYFUNCTION("if(isblank(B451),,split(B451,""ー""))"),"21-7")</f>
        <v>21-7</v>
      </c>
      <c r="M451" s="4"/>
      <c r="N451" s="4"/>
      <c r="O451" s="4"/>
      <c r="P451" s="4"/>
      <c r="Q451" s="4"/>
      <c r="R451" s="4"/>
      <c r="S451" s="4"/>
      <c r="T451" s="4"/>
      <c r="U451" s="4"/>
      <c r="V451" s="4"/>
      <c r="W451" s="4"/>
      <c r="X451" s="4"/>
    </row>
    <row r="452">
      <c r="A452" s="15" t="s">
        <v>95</v>
      </c>
      <c r="B452" s="16" t="s">
        <v>105</v>
      </c>
      <c r="C452" s="9"/>
      <c r="D452" s="10" t="s">
        <v>36</v>
      </c>
      <c r="E452" s="10" t="s">
        <v>45</v>
      </c>
      <c r="F452" s="11" t="s">
        <v>36</v>
      </c>
      <c r="G452" s="12" t="s">
        <v>1073</v>
      </c>
      <c r="I452" s="13" t="str">
        <f>IFERROR(__xludf.DUMMYFUNCTION("if(isblank(A452),,split(A452,""ー""))"),"23-18")</f>
        <v>23-18</v>
      </c>
      <c r="K452" s="13" t="str">
        <f>IFERROR(__xludf.DUMMYFUNCTION("if(isblank(B452),,split(B452,""ー""))"),"23-58")</f>
        <v>23-58</v>
      </c>
    </row>
    <row r="453">
      <c r="A453" s="15" t="s">
        <v>98</v>
      </c>
      <c r="B453" s="16" t="s">
        <v>121</v>
      </c>
      <c r="C453" s="9"/>
      <c r="D453" s="10" t="s">
        <v>36</v>
      </c>
      <c r="E453" s="10" t="s">
        <v>45</v>
      </c>
      <c r="F453" s="11" t="s">
        <v>1074</v>
      </c>
      <c r="G453" s="68" t="s">
        <v>1075</v>
      </c>
      <c r="I453" s="13" t="str">
        <f>IFERROR(__xludf.DUMMYFUNCTION("if(isblank(A453),,split(A453,""ー""))"),"23-19")</f>
        <v>23-19</v>
      </c>
      <c r="K453" s="13" t="str">
        <f>IFERROR(__xludf.DUMMYFUNCTION("if(isblank(B453),,split(B453,""ー""))"),"23-33")</f>
        <v>23-33</v>
      </c>
    </row>
    <row r="454">
      <c r="A454" s="15" t="s">
        <v>113</v>
      </c>
      <c r="B454" s="16" t="s">
        <v>119</v>
      </c>
      <c r="C454" s="9"/>
      <c r="D454" s="10" t="s">
        <v>36</v>
      </c>
      <c r="E454" s="10" t="s">
        <v>45</v>
      </c>
      <c r="F454" s="11" t="s">
        <v>36</v>
      </c>
      <c r="G454" s="12" t="s">
        <v>1076</v>
      </c>
      <c r="I454" s="13" t="str">
        <f>IFERROR(__xludf.DUMMYFUNCTION("if(isblank(A454),,split(A454,""ー""))"),"23-22")</f>
        <v>23-22</v>
      </c>
      <c r="K454" s="13" t="str">
        <f>IFERROR(__xludf.DUMMYFUNCTION("if(isblank(B454),,split(B454,""ー""))"),"23-44")</f>
        <v>23-44</v>
      </c>
    </row>
    <row r="455">
      <c r="A455" s="15" t="s">
        <v>73</v>
      </c>
      <c r="B455" s="16" t="s">
        <v>79</v>
      </c>
      <c r="C455" s="9"/>
      <c r="D455" s="10" t="s">
        <v>36</v>
      </c>
      <c r="E455" s="10" t="s">
        <v>45</v>
      </c>
      <c r="F455" s="11" t="s">
        <v>36</v>
      </c>
      <c r="G455" s="12" t="s">
        <v>1077</v>
      </c>
      <c r="I455" s="13" t="str">
        <f>IFERROR(__xludf.DUMMYFUNCTION("if(isblank(A455),,split(A455,""ー""))"),"23-23")</f>
        <v>23-23</v>
      </c>
      <c r="K455" s="13" t="str">
        <f>IFERROR(__xludf.DUMMYFUNCTION("if(isblank(B455),,split(B455,""ー""))"),"23-97")</f>
        <v>23-97</v>
      </c>
    </row>
    <row r="456">
      <c r="A456" s="15" t="s">
        <v>76</v>
      </c>
      <c r="B456" s="90" t="s">
        <v>78</v>
      </c>
      <c r="C456" s="9"/>
      <c r="D456" s="10" t="s">
        <v>1078</v>
      </c>
      <c r="E456" s="10" t="s">
        <v>45</v>
      </c>
      <c r="F456" s="11" t="s">
        <v>36</v>
      </c>
      <c r="G456" s="64" t="s">
        <v>1079</v>
      </c>
      <c r="I456" s="13" t="str">
        <f>IFERROR(__xludf.DUMMYFUNCTION("if(isblank(A456),,split(A456,""ー""))"),"23-26")</f>
        <v>23-26</v>
      </c>
      <c r="K456" s="13" t="str">
        <f>IFERROR(__xludf.DUMMYFUNCTION("if(isblank(B456),,split(B456,""ー""))"),"23-28")</f>
        <v>23-28</v>
      </c>
    </row>
    <row r="457">
      <c r="A457" s="15" t="s">
        <v>133</v>
      </c>
      <c r="B457" s="16" t="s">
        <v>134</v>
      </c>
      <c r="C457" s="9"/>
      <c r="D457" s="10" t="s">
        <v>1080</v>
      </c>
      <c r="E457" s="10" t="s">
        <v>45</v>
      </c>
      <c r="F457" s="11" t="s">
        <v>1081</v>
      </c>
      <c r="G457" s="64" t="s">
        <v>1082</v>
      </c>
      <c r="I457" s="13" t="str">
        <f>IFERROR(__xludf.DUMMYFUNCTION("if(isblank(A457),,split(A457,""ー""))"),"23-29")</f>
        <v>23-29</v>
      </c>
      <c r="K457" s="13" t="str">
        <f>IFERROR(__xludf.DUMMYFUNCTION("if(isblank(B457),,split(B457,""ー""))"),"23-30")</f>
        <v>23-30</v>
      </c>
    </row>
    <row r="458">
      <c r="A458" s="15" t="s">
        <v>133</v>
      </c>
      <c r="B458" s="16" t="s">
        <v>135</v>
      </c>
      <c r="C458" s="9"/>
      <c r="D458" s="10" t="s">
        <v>1080</v>
      </c>
      <c r="E458" s="10" t="s">
        <v>45</v>
      </c>
      <c r="F458" s="11" t="s">
        <v>1081</v>
      </c>
      <c r="G458" s="64" t="s">
        <v>1082</v>
      </c>
      <c r="I458" s="13" t="str">
        <f>IFERROR(__xludf.DUMMYFUNCTION("if(isblank(A458),,split(A458,""ー""))"),"23-29")</f>
        <v>23-29</v>
      </c>
      <c r="K458" s="13" t="str">
        <f>IFERROR(__xludf.DUMMYFUNCTION("if(isblank(B458),,split(B458,""ー""))"),"23-31")</f>
        <v>23-31</v>
      </c>
    </row>
    <row r="459">
      <c r="A459" s="15" t="s">
        <v>133</v>
      </c>
      <c r="B459" s="16" t="s">
        <v>136</v>
      </c>
      <c r="C459" s="9"/>
      <c r="D459" s="10" t="s">
        <v>36</v>
      </c>
      <c r="E459" s="10" t="s">
        <v>45</v>
      </c>
      <c r="F459" s="11" t="s">
        <v>36</v>
      </c>
      <c r="G459" s="68" t="s">
        <v>1076</v>
      </c>
      <c r="I459" s="13" t="str">
        <f>IFERROR(__xludf.DUMMYFUNCTION("if(isblank(A459),,split(A459,""ー""))"),"23-29")</f>
        <v>23-29</v>
      </c>
      <c r="K459" s="13" t="str">
        <f>IFERROR(__xludf.DUMMYFUNCTION("if(isblank(B459),,split(B459,""ー""))"),"23-45")</f>
        <v>23-45</v>
      </c>
    </row>
    <row r="460">
      <c r="A460" s="15" t="s">
        <v>133</v>
      </c>
      <c r="B460" s="16" t="s">
        <v>138</v>
      </c>
      <c r="C460" s="9"/>
      <c r="D460" s="10" t="s">
        <v>36</v>
      </c>
      <c r="E460" s="10" t="s">
        <v>45</v>
      </c>
      <c r="F460" s="11" t="s">
        <v>36</v>
      </c>
      <c r="G460" s="12" t="s">
        <v>1083</v>
      </c>
      <c r="I460" s="13" t="str">
        <f>IFERROR(__xludf.DUMMYFUNCTION("if(isblank(A460),,split(A460,""ー""))"),"23-29")</f>
        <v>23-29</v>
      </c>
      <c r="K460" s="13" t="str">
        <f>IFERROR(__xludf.DUMMYFUNCTION("if(isblank(B460),,split(B460,""ー""))"),"23-53")</f>
        <v>23-53</v>
      </c>
    </row>
    <row r="461">
      <c r="A461" s="15" t="s">
        <v>42</v>
      </c>
      <c r="B461" s="16" t="s">
        <v>43</v>
      </c>
      <c r="C461" s="9">
        <v>43874.0</v>
      </c>
      <c r="D461" s="10" t="s">
        <v>44</v>
      </c>
      <c r="E461" s="10" t="s">
        <v>45</v>
      </c>
      <c r="F461" s="11" t="s">
        <v>1084</v>
      </c>
      <c r="G461" s="12" t="s">
        <v>1085</v>
      </c>
      <c r="I461" s="13" t="str">
        <f>IFERROR(__xludf.DUMMYFUNCTION("if(isblank(A461),,split(A461,""ー""))"),"23-3")</f>
        <v>23-3</v>
      </c>
      <c r="K461" s="13" t="str">
        <f>IFERROR(__xludf.DUMMYFUNCTION("if(isblank(B461),,split(B461,""ー""))"),"23-4")</f>
        <v>23-4</v>
      </c>
    </row>
    <row r="462">
      <c r="A462" s="15" t="s">
        <v>134</v>
      </c>
      <c r="B462" s="16" t="s">
        <v>139</v>
      </c>
      <c r="C462" s="9"/>
      <c r="D462" s="10" t="s">
        <v>36</v>
      </c>
      <c r="E462" s="10" t="s">
        <v>45</v>
      </c>
      <c r="F462" s="11" t="s">
        <v>1086</v>
      </c>
      <c r="G462" s="12" t="s">
        <v>1087</v>
      </c>
      <c r="I462" s="13" t="str">
        <f>IFERROR(__xludf.DUMMYFUNCTION("if(isblank(A462),,split(A462,""ー""))"),"23-30")</f>
        <v>23-30</v>
      </c>
      <c r="K462" s="13" t="str">
        <f>IFERROR(__xludf.DUMMYFUNCTION("if(isblank(B462),,split(B462,""ー""))"),"23-37")</f>
        <v>23-37</v>
      </c>
    </row>
    <row r="463">
      <c r="A463" s="15" t="s">
        <v>134</v>
      </c>
      <c r="B463" s="16" t="s">
        <v>141</v>
      </c>
      <c r="C463" s="9"/>
      <c r="D463" s="10" t="s">
        <v>36</v>
      </c>
      <c r="E463" s="10" t="s">
        <v>45</v>
      </c>
      <c r="F463" s="11" t="s">
        <v>1086</v>
      </c>
      <c r="G463" s="12" t="s">
        <v>1087</v>
      </c>
      <c r="I463" s="13" t="str">
        <f>IFERROR(__xludf.DUMMYFUNCTION("if(isblank(A463),,split(A463,""ー""))"),"23-30")</f>
        <v>23-30</v>
      </c>
      <c r="K463" s="13" t="str">
        <f>IFERROR(__xludf.DUMMYFUNCTION("if(isblank(B463),,split(B463,""ー""))"),"23-38")</f>
        <v>23-38</v>
      </c>
    </row>
    <row r="464">
      <c r="A464" s="15" t="s">
        <v>134</v>
      </c>
      <c r="B464" s="16" t="s">
        <v>142</v>
      </c>
      <c r="C464" s="9"/>
      <c r="D464" s="10" t="s">
        <v>36</v>
      </c>
      <c r="E464" s="10" t="s">
        <v>45</v>
      </c>
      <c r="F464" s="11" t="s">
        <v>1086</v>
      </c>
      <c r="G464" s="12" t="s">
        <v>1087</v>
      </c>
      <c r="I464" s="13" t="str">
        <f>IFERROR(__xludf.DUMMYFUNCTION("if(isblank(A464),,split(A464,""ー""))"),"23-30")</f>
        <v>23-30</v>
      </c>
      <c r="K464" s="13" t="str">
        <f>IFERROR(__xludf.DUMMYFUNCTION("if(isblank(B464),,split(B464,""ー""))"),"23-39")</f>
        <v>23-39</v>
      </c>
    </row>
    <row r="465">
      <c r="A465" s="15" t="s">
        <v>134</v>
      </c>
      <c r="B465" s="16" t="s">
        <v>146</v>
      </c>
      <c r="C465" s="9"/>
      <c r="D465" s="10" t="s">
        <v>36</v>
      </c>
      <c r="E465" s="10" t="s">
        <v>45</v>
      </c>
      <c r="F465" s="11" t="s">
        <v>1086</v>
      </c>
      <c r="G465" s="68" t="s">
        <v>1088</v>
      </c>
      <c r="I465" s="13" t="str">
        <f>IFERROR(__xludf.DUMMYFUNCTION("if(isblank(A465),,split(A465,""ー""))"),"23-30")</f>
        <v>23-30</v>
      </c>
      <c r="K465" s="13" t="str">
        <f>IFERROR(__xludf.DUMMYFUNCTION("if(isblank(B465),,split(B465,""ー""))"),"23-46")</f>
        <v>23-46</v>
      </c>
    </row>
    <row r="466">
      <c r="A466" s="15" t="s">
        <v>134</v>
      </c>
      <c r="B466" s="16" t="s">
        <v>143</v>
      </c>
      <c r="C466" s="9"/>
      <c r="D466" s="10" t="s">
        <v>36</v>
      </c>
      <c r="E466" s="10" t="s">
        <v>45</v>
      </c>
      <c r="F466" s="11" t="s">
        <v>1086</v>
      </c>
      <c r="G466" s="68" t="s">
        <v>1088</v>
      </c>
      <c r="I466" s="13" t="str">
        <f>IFERROR(__xludf.DUMMYFUNCTION("if(isblank(A466),,split(A466,""ー""))"),"23-30")</f>
        <v>23-30</v>
      </c>
      <c r="K466" s="13" t="str">
        <f>IFERROR(__xludf.DUMMYFUNCTION("if(isblank(B466),,split(B466,""ー""))"),"23-47")</f>
        <v>23-47</v>
      </c>
    </row>
    <row r="467">
      <c r="A467" s="15" t="s">
        <v>135</v>
      </c>
      <c r="B467" s="16" t="s">
        <v>136</v>
      </c>
      <c r="C467" s="9"/>
      <c r="D467" s="10" t="s">
        <v>36</v>
      </c>
      <c r="E467" s="10" t="s">
        <v>45</v>
      </c>
      <c r="F467" s="11" t="s">
        <v>36</v>
      </c>
      <c r="G467" s="68" t="s">
        <v>1076</v>
      </c>
      <c r="I467" s="13" t="str">
        <f>IFERROR(__xludf.DUMMYFUNCTION("if(isblank(A467),,split(A467,""ー""))"),"23-31")</f>
        <v>23-31</v>
      </c>
      <c r="K467" s="13" t="str">
        <f>IFERROR(__xludf.DUMMYFUNCTION("if(isblank(B467),,split(B467,""ー""))"),"23-45")</f>
        <v>23-45</v>
      </c>
    </row>
    <row r="468">
      <c r="A468" s="15" t="s">
        <v>121</v>
      </c>
      <c r="B468" s="16" t="s">
        <v>123</v>
      </c>
      <c r="C468" s="9"/>
      <c r="D468" s="10" t="s">
        <v>308</v>
      </c>
      <c r="E468" s="10" t="s">
        <v>45</v>
      </c>
      <c r="F468" s="11" t="s">
        <v>1089</v>
      </c>
      <c r="G468" s="12" t="s">
        <v>1090</v>
      </c>
      <c r="I468" s="13" t="str">
        <f>IFERROR(__xludf.DUMMYFUNCTION("if(isblank(A468),,split(A468,""ー""))"),"23-33")</f>
        <v>23-33</v>
      </c>
      <c r="K468" s="13" t="str">
        <f>IFERROR(__xludf.DUMMYFUNCTION("if(isblank(B468),,split(B468,""ー""))"),"23-34")</f>
        <v>23-34</v>
      </c>
    </row>
    <row r="469">
      <c r="A469" s="15" t="s">
        <v>121</v>
      </c>
      <c r="B469" s="16" t="s">
        <v>124</v>
      </c>
      <c r="C469" s="9"/>
      <c r="D469" s="10" t="s">
        <v>308</v>
      </c>
      <c r="E469" s="10" t="s">
        <v>45</v>
      </c>
      <c r="F469" s="11" t="s">
        <v>1089</v>
      </c>
      <c r="G469" s="64" t="s">
        <v>1030</v>
      </c>
      <c r="I469" s="13" t="str">
        <f>IFERROR(__xludf.DUMMYFUNCTION("if(isblank(A469),,split(A469,""ー""))"),"23-33")</f>
        <v>23-33</v>
      </c>
      <c r="K469" s="13" t="str">
        <f>IFERROR(__xludf.DUMMYFUNCTION("if(isblank(B469),,split(B469,""ー""))"),"23-42")</f>
        <v>23-42</v>
      </c>
    </row>
    <row r="470">
      <c r="A470" s="15" t="s">
        <v>121</v>
      </c>
      <c r="B470" s="16" t="s">
        <v>126</v>
      </c>
      <c r="C470" s="9"/>
      <c r="D470" s="10" t="s">
        <v>308</v>
      </c>
      <c r="E470" s="10" t="s">
        <v>45</v>
      </c>
      <c r="F470" s="11" t="s">
        <v>1089</v>
      </c>
      <c r="G470" s="64" t="s">
        <v>1030</v>
      </c>
      <c r="I470" s="13" t="str">
        <f>IFERROR(__xludf.DUMMYFUNCTION("if(isblank(A470),,split(A470,""ー""))"),"23-33")</f>
        <v>23-33</v>
      </c>
      <c r="K470" s="13" t="str">
        <f>IFERROR(__xludf.DUMMYFUNCTION("if(isblank(B470),,split(B470,""ー""))"),"23-43")</f>
        <v>23-43</v>
      </c>
    </row>
    <row r="471">
      <c r="A471" s="15" t="s">
        <v>123</v>
      </c>
      <c r="B471" s="16" t="s">
        <v>129</v>
      </c>
      <c r="C471" s="9"/>
      <c r="D471" s="10" t="s">
        <v>1091</v>
      </c>
      <c r="E471" s="10" t="s">
        <v>45</v>
      </c>
      <c r="F471" s="11" t="s">
        <v>1092</v>
      </c>
      <c r="G471" s="68" t="s">
        <v>1093</v>
      </c>
      <c r="I471" s="13" t="str">
        <f>IFERROR(__xludf.DUMMYFUNCTION("if(isblank(A471),,split(A471,""ー""))"),"23-34")</f>
        <v>23-34</v>
      </c>
      <c r="K471" s="13" t="str">
        <f>IFERROR(__xludf.DUMMYFUNCTION("if(isblank(B471),,split(B471,""ー""))"),"23-103")</f>
        <v>23-103</v>
      </c>
    </row>
    <row r="472">
      <c r="A472" s="15" t="s">
        <v>123</v>
      </c>
      <c r="B472" s="16" t="s">
        <v>124</v>
      </c>
      <c r="C472" s="9"/>
      <c r="D472" s="10" t="s">
        <v>308</v>
      </c>
      <c r="E472" s="10" t="s">
        <v>45</v>
      </c>
      <c r="F472" s="11" t="s">
        <v>1089</v>
      </c>
      <c r="G472" s="64" t="s">
        <v>1030</v>
      </c>
      <c r="I472" s="13" t="str">
        <f>IFERROR(__xludf.DUMMYFUNCTION("if(isblank(A472),,split(A472,""ー""))"),"23-34")</f>
        <v>23-34</v>
      </c>
      <c r="K472" s="13" t="str">
        <f>IFERROR(__xludf.DUMMYFUNCTION("if(isblank(B472),,split(B472,""ー""))"),"23-42")</f>
        <v>23-42</v>
      </c>
    </row>
    <row r="473">
      <c r="A473" s="15" t="s">
        <v>123</v>
      </c>
      <c r="B473" s="16" t="s">
        <v>126</v>
      </c>
      <c r="C473" s="9"/>
      <c r="D473" s="10" t="s">
        <v>308</v>
      </c>
      <c r="E473" s="10" t="s">
        <v>45</v>
      </c>
      <c r="F473" s="11" t="s">
        <v>1089</v>
      </c>
      <c r="G473" s="64" t="s">
        <v>1030</v>
      </c>
      <c r="I473" s="13" t="str">
        <f>IFERROR(__xludf.DUMMYFUNCTION("if(isblank(A473),,split(A473,""ー""))"),"23-34")</f>
        <v>23-34</v>
      </c>
      <c r="K473" s="13" t="str">
        <f>IFERROR(__xludf.DUMMYFUNCTION("if(isblank(B473),,split(B473,""ー""))"),"23-43")</f>
        <v>23-43</v>
      </c>
    </row>
    <row r="474">
      <c r="A474" s="15" t="s">
        <v>123</v>
      </c>
      <c r="B474" s="16" t="s">
        <v>128</v>
      </c>
      <c r="C474" s="9">
        <v>43885.0</v>
      </c>
      <c r="D474" s="10" t="s">
        <v>1091</v>
      </c>
      <c r="E474" s="10" t="s">
        <v>45</v>
      </c>
      <c r="F474" s="11" t="s">
        <v>1094</v>
      </c>
      <c r="G474" s="68" t="s">
        <v>1030</v>
      </c>
      <c r="I474" s="13" t="str">
        <f>IFERROR(__xludf.DUMMYFUNCTION("if(isblank(A474),,split(A474,""ー""))"),"23-34")</f>
        <v>23-34</v>
      </c>
      <c r="K474" s="13" t="str">
        <f>IFERROR(__xludf.DUMMYFUNCTION("if(isblank(B474),,split(B474,""ー""))"),"23-63")</f>
        <v>23-63</v>
      </c>
    </row>
    <row r="475">
      <c r="A475" s="15" t="s">
        <v>141</v>
      </c>
      <c r="B475" s="16" t="s">
        <v>166</v>
      </c>
      <c r="C475" s="9"/>
      <c r="D475" s="10" t="s">
        <v>36</v>
      </c>
      <c r="E475" s="10" t="s">
        <v>45</v>
      </c>
      <c r="F475" s="11" t="s">
        <v>1095</v>
      </c>
      <c r="G475" s="68" t="s">
        <v>1096</v>
      </c>
      <c r="I475" s="13" t="str">
        <f>IFERROR(__xludf.DUMMYFUNCTION("if(isblank(A475),,split(A475,""ー""))"),"23-38")</f>
        <v>23-38</v>
      </c>
      <c r="K475" s="13" t="str">
        <f>IFERROR(__xludf.DUMMYFUNCTION("if(isblank(B475),,split(B475,""ー""))"),"23-48")</f>
        <v>23-48</v>
      </c>
    </row>
    <row r="476">
      <c r="A476" s="15" t="s">
        <v>141</v>
      </c>
      <c r="B476" s="16" t="s">
        <v>158</v>
      </c>
      <c r="C476" s="9"/>
      <c r="D476" s="10" t="s">
        <v>36</v>
      </c>
      <c r="E476" s="10" t="s">
        <v>45</v>
      </c>
      <c r="F476" s="11" t="s">
        <v>1095</v>
      </c>
      <c r="G476" s="68" t="s">
        <v>1096</v>
      </c>
      <c r="I476" s="13" t="str">
        <f>IFERROR(__xludf.DUMMYFUNCTION("if(isblank(A476),,split(A476,""ー""))"),"23-38")</f>
        <v>23-38</v>
      </c>
      <c r="K476" s="13" t="str">
        <f>IFERROR(__xludf.DUMMYFUNCTION("if(isblank(B476),,split(B476,""ー""))"),"23-49")</f>
        <v>23-49</v>
      </c>
    </row>
    <row r="477">
      <c r="A477" s="15" t="s">
        <v>141</v>
      </c>
      <c r="B477" s="16" t="s">
        <v>168</v>
      </c>
      <c r="C477" s="9"/>
      <c r="D477" s="10" t="s">
        <v>36</v>
      </c>
      <c r="E477" s="10" t="s">
        <v>45</v>
      </c>
      <c r="F477" s="11" t="s">
        <v>1095</v>
      </c>
      <c r="G477" s="12" t="s">
        <v>1097</v>
      </c>
      <c r="I477" s="13" t="str">
        <f>IFERROR(__xludf.DUMMYFUNCTION("if(isblank(A477),,split(A477,""ー""))"),"23-38")</f>
        <v>23-38</v>
      </c>
      <c r="K477" s="13" t="str">
        <f>IFERROR(__xludf.DUMMYFUNCTION("if(isblank(B477),,split(B477,""ー""))"),"23-54")</f>
        <v>23-54</v>
      </c>
    </row>
    <row r="478">
      <c r="A478" s="15" t="s">
        <v>141</v>
      </c>
      <c r="B478" s="16" t="s">
        <v>171</v>
      </c>
      <c r="C478" s="9"/>
      <c r="D478" s="10" t="s">
        <v>36</v>
      </c>
      <c r="E478" s="10" t="s">
        <v>45</v>
      </c>
      <c r="F478" s="11" t="s">
        <v>1095</v>
      </c>
      <c r="G478" s="12" t="s">
        <v>1097</v>
      </c>
      <c r="I478" s="13" t="str">
        <f>IFERROR(__xludf.DUMMYFUNCTION("if(isblank(A478),,split(A478,""ー""))"),"23-38")</f>
        <v>23-38</v>
      </c>
      <c r="K478" s="13" t="str">
        <f>IFERROR(__xludf.DUMMYFUNCTION("if(isblank(B478),,split(B478,""ー""))"),"23-55")</f>
        <v>23-55</v>
      </c>
    </row>
    <row r="479">
      <c r="A479" s="15" t="s">
        <v>141</v>
      </c>
      <c r="B479" s="16" t="s">
        <v>172</v>
      </c>
      <c r="C479" s="9"/>
      <c r="D479" s="10" t="s">
        <v>36</v>
      </c>
      <c r="E479" s="10" t="s">
        <v>45</v>
      </c>
      <c r="F479" s="11" t="s">
        <v>1095</v>
      </c>
      <c r="G479" s="12" t="s">
        <v>1097</v>
      </c>
      <c r="I479" s="13" t="str">
        <f>IFERROR(__xludf.DUMMYFUNCTION("if(isblank(A479),,split(A479,""ー""))"),"23-38")</f>
        <v>23-38</v>
      </c>
      <c r="K479" s="13" t="str">
        <f>IFERROR(__xludf.DUMMYFUNCTION("if(isblank(B479),,split(B479,""ー""))"),"23-56")</f>
        <v>23-56</v>
      </c>
    </row>
    <row r="480">
      <c r="A480" s="15" t="s">
        <v>141</v>
      </c>
      <c r="B480" s="16" t="s">
        <v>176</v>
      </c>
      <c r="C480" s="9"/>
      <c r="D480" s="10" t="s">
        <v>36</v>
      </c>
      <c r="E480" s="10" t="s">
        <v>45</v>
      </c>
      <c r="F480" s="11" t="s">
        <v>1095</v>
      </c>
      <c r="G480" s="12" t="s">
        <v>1098</v>
      </c>
      <c r="I480" s="13" t="str">
        <f>IFERROR(__xludf.DUMMYFUNCTION("if(isblank(A480),,split(A480,""ー""))"),"23-38")</f>
        <v>23-38</v>
      </c>
      <c r="K480" s="13" t="str">
        <f>IFERROR(__xludf.DUMMYFUNCTION("if(isblank(B480),,split(B480,""ー""))"),"23-60")</f>
        <v>23-60</v>
      </c>
    </row>
    <row r="481">
      <c r="A481" s="15" t="s">
        <v>141</v>
      </c>
      <c r="B481" s="16" t="s">
        <v>180</v>
      </c>
      <c r="C481" s="9"/>
      <c r="D481" s="10" t="s">
        <v>36</v>
      </c>
      <c r="E481" s="10" t="s">
        <v>45</v>
      </c>
      <c r="F481" s="11" t="s">
        <v>1095</v>
      </c>
      <c r="G481" s="12" t="s">
        <v>1098</v>
      </c>
      <c r="I481" s="13" t="str">
        <f>IFERROR(__xludf.DUMMYFUNCTION("if(isblank(A481),,split(A481,""ー""))"),"23-38")</f>
        <v>23-38</v>
      </c>
      <c r="K481" s="13" t="str">
        <f>IFERROR(__xludf.DUMMYFUNCTION("if(isblank(B481),,split(B481,""ー""))"),"23-61")</f>
        <v>23-61</v>
      </c>
    </row>
    <row r="482">
      <c r="A482" s="15" t="s">
        <v>141</v>
      </c>
      <c r="B482" s="16" t="s">
        <v>178</v>
      </c>
      <c r="C482" s="9"/>
      <c r="D482" s="10" t="s">
        <v>36</v>
      </c>
      <c r="E482" s="10" t="s">
        <v>45</v>
      </c>
      <c r="F482" s="11" t="s">
        <v>1095</v>
      </c>
      <c r="G482" s="12" t="s">
        <v>1098</v>
      </c>
      <c r="I482" s="13" t="str">
        <f>IFERROR(__xludf.DUMMYFUNCTION("if(isblank(A482),,split(A482,""ー""))"),"23-38")</f>
        <v>23-38</v>
      </c>
      <c r="K482" s="13" t="str">
        <f>IFERROR(__xludf.DUMMYFUNCTION("if(isblank(B482),,split(B482,""ー""))"),"23-62")</f>
        <v>23-62</v>
      </c>
    </row>
    <row r="483">
      <c r="A483" s="15" t="s">
        <v>141</v>
      </c>
      <c r="B483" s="16" t="s">
        <v>189</v>
      </c>
      <c r="C483" s="9"/>
      <c r="D483" s="10" t="s">
        <v>36</v>
      </c>
      <c r="E483" s="10" t="s">
        <v>45</v>
      </c>
      <c r="F483" s="11" t="s">
        <v>1095</v>
      </c>
      <c r="G483" s="68" t="s">
        <v>1099</v>
      </c>
      <c r="I483" s="13" t="str">
        <f>IFERROR(__xludf.DUMMYFUNCTION("if(isblank(A483),,split(A483,""ー""))"),"23-38")</f>
        <v>23-38</v>
      </c>
      <c r="K483" s="13" t="str">
        <f>IFERROR(__xludf.DUMMYFUNCTION("if(isblank(B483),,split(B483,""ー""))"),"23-65")</f>
        <v>23-65</v>
      </c>
    </row>
    <row r="484">
      <c r="A484" s="15" t="s">
        <v>141</v>
      </c>
      <c r="B484" s="16" t="s">
        <v>184</v>
      </c>
      <c r="C484" s="9"/>
      <c r="D484" s="10" t="s">
        <v>36</v>
      </c>
      <c r="E484" s="10" t="s">
        <v>45</v>
      </c>
      <c r="F484" s="11" t="s">
        <v>1095</v>
      </c>
      <c r="G484" s="68" t="s">
        <v>1099</v>
      </c>
      <c r="I484" s="13" t="str">
        <f>IFERROR(__xludf.DUMMYFUNCTION("if(isblank(A484),,split(A484,""ー""))"),"23-38")</f>
        <v>23-38</v>
      </c>
      <c r="K484" s="13" t="str">
        <f>IFERROR(__xludf.DUMMYFUNCTION("if(isblank(B484),,split(B484,""ー""))"),"23-66")</f>
        <v>23-66</v>
      </c>
    </row>
    <row r="485">
      <c r="A485" s="15" t="s">
        <v>141</v>
      </c>
      <c r="B485" s="16" t="s">
        <v>191</v>
      </c>
      <c r="C485" s="9"/>
      <c r="D485" s="10" t="s">
        <v>36</v>
      </c>
      <c r="E485" s="10" t="s">
        <v>45</v>
      </c>
      <c r="F485" s="11" t="s">
        <v>1095</v>
      </c>
      <c r="G485" s="12" t="s">
        <v>1100</v>
      </c>
      <c r="I485" s="13" t="str">
        <f>IFERROR(__xludf.DUMMYFUNCTION("if(isblank(A485),,split(A485,""ー""))"),"23-38")</f>
        <v>23-38</v>
      </c>
      <c r="K485" s="13" t="str">
        <f>IFERROR(__xludf.DUMMYFUNCTION("if(isblank(B485),,split(B485,""ー""))"),"23-73")</f>
        <v>23-73</v>
      </c>
    </row>
    <row r="486">
      <c r="A486" s="15" t="s">
        <v>141</v>
      </c>
      <c r="B486" s="16" t="s">
        <v>193</v>
      </c>
      <c r="C486" s="9"/>
      <c r="D486" s="10" t="s">
        <v>36</v>
      </c>
      <c r="E486" s="10" t="s">
        <v>45</v>
      </c>
      <c r="F486" s="11" t="s">
        <v>1095</v>
      </c>
      <c r="G486" s="12" t="s">
        <v>1100</v>
      </c>
      <c r="I486" s="13" t="str">
        <f>IFERROR(__xludf.DUMMYFUNCTION("if(isblank(A486),,split(A486,""ー""))"),"23-38")</f>
        <v>23-38</v>
      </c>
      <c r="K486" s="13" t="str">
        <f>IFERROR(__xludf.DUMMYFUNCTION("if(isblank(B486),,split(B486,""ー""))"),"23-74")</f>
        <v>23-74</v>
      </c>
    </row>
    <row r="487">
      <c r="A487" s="15" t="s">
        <v>141</v>
      </c>
      <c r="B487" s="16" t="s">
        <v>194</v>
      </c>
      <c r="C487" s="9"/>
      <c r="D487" s="10" t="s">
        <v>36</v>
      </c>
      <c r="E487" s="10" t="s">
        <v>45</v>
      </c>
      <c r="F487" s="11" t="s">
        <v>1095</v>
      </c>
      <c r="G487" s="12" t="s">
        <v>1100</v>
      </c>
      <c r="I487" s="13" t="str">
        <f>IFERROR(__xludf.DUMMYFUNCTION("if(isblank(A487),,split(A487,""ー""))"),"23-38")</f>
        <v>23-38</v>
      </c>
      <c r="K487" s="13" t="str">
        <f>IFERROR(__xludf.DUMMYFUNCTION("if(isblank(B487),,split(B487,""ー""))"),"23-75")</f>
        <v>23-75</v>
      </c>
    </row>
    <row r="488">
      <c r="A488" s="15" t="s">
        <v>141</v>
      </c>
      <c r="B488" s="16" t="s">
        <v>199</v>
      </c>
      <c r="C488" s="9"/>
      <c r="D488" s="10" t="s">
        <v>36</v>
      </c>
      <c r="E488" s="10" t="s">
        <v>45</v>
      </c>
      <c r="F488" s="11" t="s">
        <v>1095</v>
      </c>
      <c r="G488" s="12" t="s">
        <v>1101</v>
      </c>
      <c r="I488" s="13" t="str">
        <f>IFERROR(__xludf.DUMMYFUNCTION("if(isblank(A488),,split(A488,""ー""))"),"23-38")</f>
        <v>23-38</v>
      </c>
      <c r="K488" s="13" t="str">
        <f>IFERROR(__xludf.DUMMYFUNCTION("if(isblank(B488),,split(B488,""ー""))"),"23-93")</f>
        <v>23-93</v>
      </c>
    </row>
    <row r="489">
      <c r="A489" s="15" t="s">
        <v>142</v>
      </c>
      <c r="B489" s="16" t="s">
        <v>148</v>
      </c>
      <c r="C489" s="9"/>
      <c r="D489" s="10" t="s">
        <v>149</v>
      </c>
      <c r="E489" s="10" t="s">
        <v>45</v>
      </c>
      <c r="F489" s="11" t="s">
        <v>36</v>
      </c>
      <c r="G489" s="12" t="s">
        <v>1102</v>
      </c>
      <c r="I489" s="13" t="str">
        <f>IFERROR(__xludf.DUMMYFUNCTION("if(isblank(A489),,split(A489,""ー""))"),"23-39")</f>
        <v>23-39</v>
      </c>
      <c r="K489" s="13" t="str">
        <f>IFERROR(__xludf.DUMMYFUNCTION("if(isblank(B489),,split(B489,""ー""))"),"23-133")</f>
        <v>23-133</v>
      </c>
    </row>
    <row r="490">
      <c r="A490" s="15" t="s">
        <v>142</v>
      </c>
      <c r="B490" s="16" t="s">
        <v>153</v>
      </c>
      <c r="C490" s="9"/>
      <c r="D490" s="10" t="s">
        <v>36</v>
      </c>
      <c r="E490" s="10" t="s">
        <v>45</v>
      </c>
      <c r="F490" s="11" t="s">
        <v>36</v>
      </c>
      <c r="G490" s="12" t="s">
        <v>1103</v>
      </c>
      <c r="I490" s="13" t="str">
        <f>IFERROR(__xludf.DUMMYFUNCTION("if(isblank(A490),,split(A490,""ー""))"),"23-39")</f>
        <v>23-39</v>
      </c>
      <c r="K490" s="13" t="str">
        <f>IFERROR(__xludf.DUMMYFUNCTION("if(isblank(B490),,split(B490,""ー""))"),"23-86")</f>
        <v>23-86</v>
      </c>
    </row>
    <row r="491">
      <c r="A491" s="15" t="s">
        <v>43</v>
      </c>
      <c r="B491" s="16" t="s">
        <v>84</v>
      </c>
      <c r="C491" s="9"/>
      <c r="D491" s="10" t="s">
        <v>1078</v>
      </c>
      <c r="E491" s="10" t="s">
        <v>45</v>
      </c>
      <c r="F491" s="11" t="s">
        <v>1104</v>
      </c>
      <c r="G491" s="64" t="s">
        <v>1105</v>
      </c>
      <c r="I491" s="13" t="str">
        <f>IFERROR(__xludf.DUMMYFUNCTION("if(isblank(A491),,split(A491,""ー""))"),"23-4")</f>
        <v>23-4</v>
      </c>
      <c r="K491" s="13" t="str">
        <f>IFERROR(__xludf.DUMMYFUNCTION("if(isblank(B491),,split(B491,""ー""))"),"23-10")</f>
        <v>23-10</v>
      </c>
    </row>
    <row r="492">
      <c r="A492" s="15" t="s">
        <v>43</v>
      </c>
      <c r="B492" s="16" t="s">
        <v>89</v>
      </c>
      <c r="C492" s="9"/>
      <c r="D492" s="10" t="s">
        <v>1078</v>
      </c>
      <c r="E492" s="10" t="s">
        <v>45</v>
      </c>
      <c r="F492" s="11" t="s">
        <v>1104</v>
      </c>
      <c r="G492" s="64" t="s">
        <v>1106</v>
      </c>
      <c r="I492" s="13" t="str">
        <f>IFERROR(__xludf.DUMMYFUNCTION("if(isblank(A492),,split(A492,""ー""))"),"23-4")</f>
        <v>23-4</v>
      </c>
      <c r="K492" s="13" t="str">
        <f>IFERROR(__xludf.DUMMYFUNCTION("if(isblank(B492),,split(B492,""ー""))"),"23-12")</f>
        <v>23-12</v>
      </c>
    </row>
    <row r="493">
      <c r="A493" s="15" t="s">
        <v>43</v>
      </c>
      <c r="B493" s="16" t="s">
        <v>90</v>
      </c>
      <c r="C493" s="9"/>
      <c r="D493" s="10" t="s">
        <v>1078</v>
      </c>
      <c r="E493" s="10" t="s">
        <v>45</v>
      </c>
      <c r="F493" s="11" t="s">
        <v>1104</v>
      </c>
      <c r="G493" s="64" t="s">
        <v>1106</v>
      </c>
      <c r="I493" s="13" t="str">
        <f>IFERROR(__xludf.DUMMYFUNCTION("if(isblank(A493),,split(A493,""ー""))"),"23-4")</f>
        <v>23-4</v>
      </c>
      <c r="K493" s="13" t="str">
        <f>IFERROR(__xludf.DUMMYFUNCTION("if(isblank(B493),,split(B493,""ー""))"),"23-13")</f>
        <v>23-13</v>
      </c>
    </row>
    <row r="494">
      <c r="A494" s="15" t="s">
        <v>43</v>
      </c>
      <c r="B494" s="16" t="s">
        <v>92</v>
      </c>
      <c r="C494" s="9"/>
      <c r="D494" s="10" t="s">
        <v>1078</v>
      </c>
      <c r="E494" s="10" t="s">
        <v>45</v>
      </c>
      <c r="F494" s="11" t="s">
        <v>1104</v>
      </c>
      <c r="G494" s="64" t="s">
        <v>1107</v>
      </c>
      <c r="I494" s="13" t="str">
        <f>IFERROR(__xludf.DUMMYFUNCTION("if(isblank(A494),,split(A494,""ー""))"),"23-4")</f>
        <v>23-4</v>
      </c>
      <c r="K494" s="13" t="str">
        <f>IFERROR(__xludf.DUMMYFUNCTION("if(isblank(B494),,split(B494,""ー""))"),"23-16")</f>
        <v>23-16</v>
      </c>
    </row>
    <row r="495">
      <c r="A495" s="15" t="s">
        <v>43</v>
      </c>
      <c r="B495" s="16" t="s">
        <v>93</v>
      </c>
      <c r="C495" s="9"/>
      <c r="D495" s="10" t="s">
        <v>1078</v>
      </c>
      <c r="E495" s="10" t="s">
        <v>45</v>
      </c>
      <c r="F495" s="11" t="s">
        <v>1104</v>
      </c>
      <c r="G495" s="64" t="s">
        <v>1107</v>
      </c>
      <c r="I495" s="13" t="str">
        <f>IFERROR(__xludf.DUMMYFUNCTION("if(isblank(A495),,split(A495,""ー""))"),"23-4")</f>
        <v>23-4</v>
      </c>
      <c r="K495" s="13" t="str">
        <f>IFERROR(__xludf.DUMMYFUNCTION("if(isblank(B495),,split(B495,""ー""))"),"23-17")</f>
        <v>23-17</v>
      </c>
    </row>
    <row r="496">
      <c r="A496" s="15" t="s">
        <v>43</v>
      </c>
      <c r="B496" s="16" t="s">
        <v>95</v>
      </c>
      <c r="C496" s="9"/>
      <c r="D496" s="10" t="s">
        <v>1078</v>
      </c>
      <c r="E496" s="10" t="s">
        <v>45</v>
      </c>
      <c r="F496" s="11" t="s">
        <v>1104</v>
      </c>
      <c r="G496" s="64" t="s">
        <v>1108</v>
      </c>
      <c r="I496" s="13" t="str">
        <f>IFERROR(__xludf.DUMMYFUNCTION("if(isblank(A496),,split(A496,""ー""))"),"23-4")</f>
        <v>23-4</v>
      </c>
      <c r="K496" s="13" t="str">
        <f>IFERROR(__xludf.DUMMYFUNCTION("if(isblank(B496),,split(B496,""ー""))"),"23-18")</f>
        <v>23-18</v>
      </c>
    </row>
    <row r="497">
      <c r="A497" s="15" t="s">
        <v>43</v>
      </c>
      <c r="B497" s="16" t="s">
        <v>98</v>
      </c>
      <c r="C497" s="9"/>
      <c r="D497" s="10" t="s">
        <v>1078</v>
      </c>
      <c r="E497" s="10" t="s">
        <v>45</v>
      </c>
      <c r="F497" s="11" t="s">
        <v>1104</v>
      </c>
      <c r="G497" s="64" t="s">
        <v>1108</v>
      </c>
      <c r="I497" s="13" t="str">
        <f>IFERROR(__xludf.DUMMYFUNCTION("if(isblank(A497),,split(A497,""ー""))"),"23-4")</f>
        <v>23-4</v>
      </c>
      <c r="K497" s="13" t="str">
        <f>IFERROR(__xludf.DUMMYFUNCTION("if(isblank(B497),,split(B497,""ー""))"),"23-19")</f>
        <v>23-19</v>
      </c>
    </row>
    <row r="498">
      <c r="A498" s="15" t="s">
        <v>43</v>
      </c>
      <c r="B498" s="16" t="s">
        <v>50</v>
      </c>
      <c r="C498" s="9"/>
      <c r="D498" s="10" t="s">
        <v>52</v>
      </c>
      <c r="E498" s="10" t="s">
        <v>45</v>
      </c>
      <c r="F498" s="11" t="s">
        <v>36</v>
      </c>
      <c r="G498" s="64" t="s">
        <v>1109</v>
      </c>
      <c r="I498" s="13" t="str">
        <f>IFERROR(__xludf.DUMMYFUNCTION("if(isblank(A498),,split(A498,""ー""))"),"23-4")</f>
        <v>23-4</v>
      </c>
      <c r="K498" s="13" t="str">
        <f>IFERROR(__xludf.DUMMYFUNCTION("if(isblank(B498),,split(B498,""ー""))"),"23-5")</f>
        <v>23-5</v>
      </c>
    </row>
    <row r="499">
      <c r="A499" s="15" t="s">
        <v>43</v>
      </c>
      <c r="B499" s="16" t="s">
        <v>99</v>
      </c>
      <c r="C499" s="9"/>
      <c r="D499" s="10" t="s">
        <v>1078</v>
      </c>
      <c r="E499" s="10" t="s">
        <v>45</v>
      </c>
      <c r="F499" s="11" t="s">
        <v>1104</v>
      </c>
      <c r="G499" s="64" t="s">
        <v>1105</v>
      </c>
      <c r="I499" s="13" t="str">
        <f>IFERROR(__xludf.DUMMYFUNCTION("if(isblank(A499),,split(A499,""ー""))"),"23-4")</f>
        <v>23-4</v>
      </c>
      <c r="K499" s="13" t="str">
        <f>IFERROR(__xludf.DUMMYFUNCTION("if(isblank(B499),,split(B499,""ー""))"),"23-9")</f>
        <v>23-9</v>
      </c>
    </row>
    <row r="500">
      <c r="A500" s="15" t="s">
        <v>124</v>
      </c>
      <c r="B500" s="16" t="s">
        <v>131</v>
      </c>
      <c r="C500" s="9"/>
      <c r="D500" s="10" t="s">
        <v>36</v>
      </c>
      <c r="E500" s="10" t="s">
        <v>45</v>
      </c>
      <c r="F500" s="11" t="s">
        <v>36</v>
      </c>
      <c r="G500" s="12" t="s">
        <v>1110</v>
      </c>
      <c r="I500" s="13" t="str">
        <f>IFERROR(__xludf.DUMMYFUNCTION("if(isblank(A500),,split(A500,""ー""))"),"23-42")</f>
        <v>23-42</v>
      </c>
      <c r="K500" s="13" t="str">
        <f>IFERROR(__xludf.DUMMYFUNCTION("if(isblank(B500),,split(B500,""ー""))"),"23-105")</f>
        <v>23-105</v>
      </c>
    </row>
    <row r="501">
      <c r="A501" s="15" t="s">
        <v>146</v>
      </c>
      <c r="B501" s="16" t="s">
        <v>156</v>
      </c>
      <c r="C501" s="9"/>
      <c r="D501" s="10" t="s">
        <v>36</v>
      </c>
      <c r="E501" s="10" t="s">
        <v>45</v>
      </c>
      <c r="F501" s="11" t="s">
        <v>36</v>
      </c>
      <c r="G501" s="12" t="s">
        <v>1073</v>
      </c>
      <c r="I501" s="13" t="str">
        <f>IFERROR(__xludf.DUMMYFUNCTION("if(isblank(A501),,split(A501,""ー""))"),"23-46")</f>
        <v>23-46</v>
      </c>
      <c r="K501" s="13" t="str">
        <f>IFERROR(__xludf.DUMMYFUNCTION("if(isblank(B501),,split(B501,""ー""))"),"23-59")</f>
        <v>23-59</v>
      </c>
    </row>
    <row r="502">
      <c r="A502" s="15" t="s">
        <v>166</v>
      </c>
      <c r="B502" s="16" t="s">
        <v>257</v>
      </c>
      <c r="C502" s="9"/>
      <c r="D502" s="10" t="s">
        <v>36</v>
      </c>
      <c r="E502" s="10" t="s">
        <v>45</v>
      </c>
      <c r="F502" s="11" t="s">
        <v>1111</v>
      </c>
      <c r="G502" s="64" t="s">
        <v>1112</v>
      </c>
      <c r="I502" s="13" t="str">
        <f>IFERROR(__xludf.DUMMYFUNCTION("if(isblank(A502),,split(A502,""ー""))"),"23-48")</f>
        <v>23-48</v>
      </c>
      <c r="K502" s="13" t="str">
        <f>IFERROR(__xludf.DUMMYFUNCTION("if(isblank(B502),,split(B502,""ー""))"),"23-100")</f>
        <v>23-100</v>
      </c>
    </row>
    <row r="503">
      <c r="A503" s="15" t="s">
        <v>166</v>
      </c>
      <c r="B503" s="16" t="s">
        <v>260</v>
      </c>
      <c r="C503" s="9"/>
      <c r="D503" s="10" t="s">
        <v>36</v>
      </c>
      <c r="E503" s="10" t="s">
        <v>45</v>
      </c>
      <c r="F503" s="11" t="s">
        <v>1111</v>
      </c>
      <c r="G503" s="64" t="s">
        <v>1112</v>
      </c>
      <c r="I503" s="13" t="str">
        <f>IFERROR(__xludf.DUMMYFUNCTION("if(isblank(A503),,split(A503,""ー""))"),"23-48")</f>
        <v>23-48</v>
      </c>
      <c r="K503" s="13" t="str">
        <f>IFERROR(__xludf.DUMMYFUNCTION("if(isblank(B503),,split(B503,""ー""))"),"23-101")</f>
        <v>23-101</v>
      </c>
    </row>
    <row r="504">
      <c r="A504" s="15" t="s">
        <v>166</v>
      </c>
      <c r="B504" s="16" t="s">
        <v>262</v>
      </c>
      <c r="C504" s="9"/>
      <c r="D504" s="10" t="s">
        <v>36</v>
      </c>
      <c r="E504" s="10" t="s">
        <v>45</v>
      </c>
      <c r="F504" s="11" t="s">
        <v>1111</v>
      </c>
      <c r="G504" s="12" t="s">
        <v>1113</v>
      </c>
      <c r="I504" s="13" t="str">
        <f>IFERROR(__xludf.DUMMYFUNCTION("if(isblank(A504),,split(A504,""ー""))"),"23-48")</f>
        <v>23-48</v>
      </c>
      <c r="K504" s="13" t="str">
        <f>IFERROR(__xludf.DUMMYFUNCTION("if(isblank(B504),,split(B504,""ー""))"),"23-123")</f>
        <v>23-123</v>
      </c>
    </row>
    <row r="505">
      <c r="A505" s="15" t="s">
        <v>166</v>
      </c>
      <c r="B505" s="16" t="s">
        <v>247</v>
      </c>
      <c r="C505" s="9"/>
      <c r="D505" s="10" t="s">
        <v>36</v>
      </c>
      <c r="E505" s="10" t="s">
        <v>45</v>
      </c>
      <c r="F505" s="11" t="s">
        <v>1111</v>
      </c>
      <c r="G505" s="12" t="s">
        <v>1114</v>
      </c>
      <c r="I505" s="13" t="str">
        <f>IFERROR(__xludf.DUMMYFUNCTION("if(isblank(A505),,split(A505,""ー""))"),"23-48")</f>
        <v>23-48</v>
      </c>
      <c r="K505" s="13" t="str">
        <f>IFERROR(__xludf.DUMMYFUNCTION("if(isblank(B505),,split(B505,""ー""))"),"23-67")</f>
        <v>23-67</v>
      </c>
    </row>
    <row r="506">
      <c r="A506" s="15" t="s">
        <v>166</v>
      </c>
      <c r="B506" s="16" t="s">
        <v>249</v>
      </c>
      <c r="C506" s="9"/>
      <c r="D506" s="10" t="s">
        <v>36</v>
      </c>
      <c r="E506" s="10" t="s">
        <v>45</v>
      </c>
      <c r="F506" s="11" t="s">
        <v>1111</v>
      </c>
      <c r="G506" s="12" t="s">
        <v>1115</v>
      </c>
      <c r="I506" s="13" t="str">
        <f>IFERROR(__xludf.DUMMYFUNCTION("if(isblank(A506),,split(A506,""ー""))"),"23-48")</f>
        <v>23-48</v>
      </c>
      <c r="K506" s="13" t="str">
        <f>IFERROR(__xludf.DUMMYFUNCTION("if(isblank(B506),,split(B506,""ー""))"),"23-77")</f>
        <v>23-77</v>
      </c>
    </row>
    <row r="507">
      <c r="A507" s="15" t="s">
        <v>166</v>
      </c>
      <c r="B507" s="16" t="s">
        <v>251</v>
      </c>
      <c r="C507" s="9"/>
      <c r="D507" s="10" t="s">
        <v>36</v>
      </c>
      <c r="E507" s="10" t="s">
        <v>45</v>
      </c>
      <c r="F507" s="11" t="s">
        <v>1111</v>
      </c>
      <c r="G507" s="12" t="s">
        <v>1116</v>
      </c>
      <c r="I507" s="13" t="str">
        <f>IFERROR(__xludf.DUMMYFUNCTION("if(isblank(A507),,split(A507,""ー""))"),"23-48")</f>
        <v>23-48</v>
      </c>
      <c r="K507" s="13" t="str">
        <f>IFERROR(__xludf.DUMMYFUNCTION("if(isblank(B507),,split(B507,""ー""))"),"23-83")</f>
        <v>23-83</v>
      </c>
    </row>
    <row r="508">
      <c r="A508" s="15" t="s">
        <v>166</v>
      </c>
      <c r="B508" s="16" t="s">
        <v>254</v>
      </c>
      <c r="C508" s="9"/>
      <c r="D508" s="10" t="s">
        <v>36</v>
      </c>
      <c r="E508" s="10" t="s">
        <v>45</v>
      </c>
      <c r="F508" s="11" t="s">
        <v>1111</v>
      </c>
      <c r="G508" s="12" t="s">
        <v>1117</v>
      </c>
      <c r="I508" s="13" t="str">
        <f>IFERROR(__xludf.DUMMYFUNCTION("if(isblank(A508),,split(A508,""ー""))"),"23-48")</f>
        <v>23-48</v>
      </c>
      <c r="K508" s="13" t="str">
        <f>IFERROR(__xludf.DUMMYFUNCTION("if(isblank(B508),,split(B508,""ー""))"),"23-95")</f>
        <v>23-95</v>
      </c>
    </row>
    <row r="509">
      <c r="A509" s="15" t="s">
        <v>158</v>
      </c>
      <c r="B509" s="16" t="s">
        <v>210</v>
      </c>
      <c r="C509" s="9"/>
      <c r="D509" s="10" t="s">
        <v>36</v>
      </c>
      <c r="E509" s="10" t="s">
        <v>45</v>
      </c>
      <c r="F509" s="11" t="s">
        <v>36</v>
      </c>
      <c r="G509" s="12" t="s">
        <v>1035</v>
      </c>
      <c r="I509" s="13" t="str">
        <f>IFERROR(__xludf.DUMMYFUNCTION("if(isblank(A509),,split(A509,""ー""))"),"23-49")</f>
        <v>23-49</v>
      </c>
      <c r="K509" s="13" t="str">
        <f>IFERROR(__xludf.DUMMYFUNCTION("if(isblank(B509),,split(B509,""ー""))"),"23-115")</f>
        <v>23-115</v>
      </c>
    </row>
    <row r="510">
      <c r="A510" s="15" t="s">
        <v>158</v>
      </c>
      <c r="B510" s="16" t="s">
        <v>205</v>
      </c>
      <c r="C510" s="9"/>
      <c r="D510" s="10" t="s">
        <v>36</v>
      </c>
      <c r="E510" s="10" t="s">
        <v>45</v>
      </c>
      <c r="F510" s="11" t="s">
        <v>36</v>
      </c>
      <c r="G510" s="12" t="s">
        <v>1035</v>
      </c>
      <c r="I510" s="13" t="str">
        <f>IFERROR(__xludf.DUMMYFUNCTION("if(isblank(A510),,split(A510,""ー""))"),"23-49")</f>
        <v>23-49</v>
      </c>
      <c r="K510" s="13" t="str">
        <f>IFERROR(__xludf.DUMMYFUNCTION("if(isblank(B510),,split(B510,""ー""))"),"23-117")</f>
        <v>23-117</v>
      </c>
    </row>
    <row r="511">
      <c r="A511" s="15" t="s">
        <v>158</v>
      </c>
      <c r="B511" s="16" t="s">
        <v>201</v>
      </c>
      <c r="C511" s="9"/>
      <c r="D511" s="10" t="s">
        <v>36</v>
      </c>
      <c r="E511" s="10" t="s">
        <v>45</v>
      </c>
      <c r="F511" s="11" t="s">
        <v>36</v>
      </c>
      <c r="G511" s="49" t="s">
        <v>1038</v>
      </c>
      <c r="I511" s="13" t="str">
        <f>IFERROR(__xludf.DUMMYFUNCTION("if(isblank(A511),,split(A511,""ー""))"),"23-49")</f>
        <v>23-49</v>
      </c>
      <c r="K511" s="13" t="str">
        <f>IFERROR(__xludf.DUMMYFUNCTION("if(isblank(B511),,split(B511,""ー""))"),"23-129")</f>
        <v>23-129</v>
      </c>
    </row>
    <row r="512">
      <c r="A512" s="15" t="s">
        <v>50</v>
      </c>
      <c r="B512" s="16" t="s">
        <v>57</v>
      </c>
      <c r="C512" s="9"/>
      <c r="D512" s="10" t="s">
        <v>52</v>
      </c>
      <c r="E512" s="10" t="s">
        <v>45</v>
      </c>
      <c r="F512" s="11" t="s">
        <v>59</v>
      </c>
      <c r="G512" s="68" t="s">
        <v>1118</v>
      </c>
      <c r="I512" s="13" t="str">
        <f>IFERROR(__xludf.DUMMYFUNCTION("if(isblank(A512),,split(A512,""ー""))"),"23-5")</f>
        <v>23-5</v>
      </c>
      <c r="K512" s="13" t="str">
        <f>IFERROR(__xludf.DUMMYFUNCTION("if(isblank(B512),,split(B512,""ー""))"),"23-6")</f>
        <v>23-6</v>
      </c>
    </row>
    <row r="513">
      <c r="A513" s="15" t="s">
        <v>50</v>
      </c>
      <c r="B513" s="16" t="s">
        <v>63</v>
      </c>
      <c r="C513" s="9"/>
      <c r="D513" s="10" t="s">
        <v>52</v>
      </c>
      <c r="E513" s="10" t="s">
        <v>45</v>
      </c>
      <c r="F513" s="11" t="s">
        <v>59</v>
      </c>
      <c r="G513" s="64" t="s">
        <v>1119</v>
      </c>
      <c r="I513" s="13" t="str">
        <f>IFERROR(__xludf.DUMMYFUNCTION("if(isblank(A513),,split(A513,""ー""))"),"23-5")</f>
        <v>23-5</v>
      </c>
      <c r="K513" s="13" t="str">
        <f>IFERROR(__xludf.DUMMYFUNCTION("if(isblank(B513),,split(B513,""ー""))"),"23-7")</f>
        <v>23-7</v>
      </c>
    </row>
    <row r="514">
      <c r="A514" s="15" t="s">
        <v>171</v>
      </c>
      <c r="B514" s="16" t="s">
        <v>243</v>
      </c>
      <c r="C514" s="9"/>
      <c r="D514" s="10" t="s">
        <v>36</v>
      </c>
      <c r="E514" s="10" t="s">
        <v>45</v>
      </c>
      <c r="F514" s="11" t="s">
        <v>1120</v>
      </c>
      <c r="G514" s="68" t="s">
        <v>1121</v>
      </c>
      <c r="I514" s="13" t="str">
        <f>IFERROR(__xludf.DUMMYFUNCTION("if(isblank(A514),,split(A514,""ー""))"),"23-55")</f>
        <v>23-55</v>
      </c>
      <c r="K514" s="13" t="str">
        <f>IFERROR(__xludf.DUMMYFUNCTION("if(isblank(B514),,split(B514,""ー""))"),"23-118")</f>
        <v>23-118</v>
      </c>
    </row>
    <row r="515">
      <c r="A515" s="15" t="s">
        <v>171</v>
      </c>
      <c r="B515" s="16" t="s">
        <v>245</v>
      </c>
      <c r="C515" s="9"/>
      <c r="D515" s="10" t="s">
        <v>36</v>
      </c>
      <c r="E515" s="10" t="s">
        <v>45</v>
      </c>
      <c r="F515" s="11" t="s">
        <v>1120</v>
      </c>
      <c r="G515" s="12" t="s">
        <v>1117</v>
      </c>
      <c r="I515" s="13" t="str">
        <f>IFERROR(__xludf.DUMMYFUNCTION("if(isblank(A515),,split(A515,""ー""))"),"23-55")</f>
        <v>23-55</v>
      </c>
      <c r="K515" s="13" t="str">
        <f>IFERROR(__xludf.DUMMYFUNCTION("if(isblank(B515),,split(B515,""ー""))"),"23-91")</f>
        <v>23-91</v>
      </c>
    </row>
    <row r="516">
      <c r="A516" s="15" t="s">
        <v>171</v>
      </c>
      <c r="B516" s="16" t="s">
        <v>241</v>
      </c>
      <c r="C516" s="9"/>
      <c r="D516" s="10" t="s">
        <v>36</v>
      </c>
      <c r="E516" s="10" t="s">
        <v>45</v>
      </c>
      <c r="F516" s="11" t="s">
        <v>1120</v>
      </c>
      <c r="G516" s="12" t="s">
        <v>1117</v>
      </c>
      <c r="I516" s="13" t="str">
        <f>IFERROR(__xludf.DUMMYFUNCTION("if(isblank(A516),,split(A516,""ー""))"),"23-55")</f>
        <v>23-55</v>
      </c>
      <c r="K516" s="13" t="str">
        <f>IFERROR(__xludf.DUMMYFUNCTION("if(isblank(B516),,split(B516,""ー""))"),"23-92")</f>
        <v>23-92</v>
      </c>
    </row>
    <row r="517">
      <c r="A517" s="15" t="s">
        <v>172</v>
      </c>
      <c r="B517" s="16" t="s">
        <v>237</v>
      </c>
      <c r="C517" s="9"/>
      <c r="D517" s="10" t="s">
        <v>36</v>
      </c>
      <c r="E517" s="10" t="s">
        <v>45</v>
      </c>
      <c r="F517" s="11" t="s">
        <v>36</v>
      </c>
      <c r="G517" s="68" t="s">
        <v>1122</v>
      </c>
      <c r="I517" s="13" t="str">
        <f>IFERROR(__xludf.DUMMYFUNCTION("if(isblank(A517),,split(A517,""ー""))"),"23-56")</f>
        <v>23-56</v>
      </c>
      <c r="K517" s="13" t="str">
        <f>IFERROR(__xludf.DUMMYFUNCTION("if(isblank(B517),,split(B517,""ー""))"),"23-102")</f>
        <v>23-102</v>
      </c>
    </row>
    <row r="518">
      <c r="A518" s="15" t="s">
        <v>172</v>
      </c>
      <c r="B518" s="16" t="s">
        <v>239</v>
      </c>
      <c r="C518" s="9"/>
      <c r="D518" s="10" t="s">
        <v>36</v>
      </c>
      <c r="E518" s="10" t="s">
        <v>45</v>
      </c>
      <c r="F518" s="11" t="s">
        <v>36</v>
      </c>
      <c r="G518" s="68" t="s">
        <v>1123</v>
      </c>
      <c r="I518" s="13" t="str">
        <f>IFERROR(__xludf.DUMMYFUNCTION("if(isblank(A518),,split(A518,""ー""))"),"23-56")</f>
        <v>23-56</v>
      </c>
      <c r="K518" s="13" t="str">
        <f>IFERROR(__xludf.DUMMYFUNCTION("if(isblank(B518),,split(B518,""ー""))"),"23-110")</f>
        <v>23-110</v>
      </c>
    </row>
    <row r="519">
      <c r="A519" s="15" t="s">
        <v>172</v>
      </c>
      <c r="B519" s="16" t="s">
        <v>231</v>
      </c>
      <c r="C519" s="9"/>
      <c r="D519" s="10" t="s">
        <v>36</v>
      </c>
      <c r="E519" s="10" t="s">
        <v>45</v>
      </c>
      <c r="F519" s="11" t="s">
        <v>36</v>
      </c>
      <c r="G519" s="12" t="s">
        <v>1103</v>
      </c>
      <c r="I519" s="13" t="str">
        <f>IFERROR(__xludf.DUMMYFUNCTION("if(isblank(A519),,split(A519,""ー""))"),"23-56")</f>
        <v>23-56</v>
      </c>
      <c r="K519" s="13" t="str">
        <f>IFERROR(__xludf.DUMMYFUNCTION("if(isblank(B519),,split(B519,""ー""))"),"23-85")</f>
        <v>23-85</v>
      </c>
    </row>
    <row r="520">
      <c r="A520" s="15" t="s">
        <v>57</v>
      </c>
      <c r="B520" s="16" t="s">
        <v>63</v>
      </c>
      <c r="C520" s="9"/>
      <c r="D520" s="10" t="s">
        <v>52</v>
      </c>
      <c r="E520" s="10" t="s">
        <v>45</v>
      </c>
      <c r="F520" s="11" t="s">
        <v>59</v>
      </c>
      <c r="G520" s="64" t="s">
        <v>1119</v>
      </c>
      <c r="I520" s="13" t="str">
        <f>IFERROR(__xludf.DUMMYFUNCTION("if(isblank(A520),,split(A520,""ー""))"),"23-6")</f>
        <v>23-6</v>
      </c>
      <c r="K520" s="13" t="str">
        <f>IFERROR(__xludf.DUMMYFUNCTION("if(isblank(B520),,split(B520,""ー""))"),"23-7")</f>
        <v>23-7</v>
      </c>
    </row>
    <row r="521">
      <c r="A521" s="15" t="s">
        <v>180</v>
      </c>
      <c r="B521" s="16" t="s">
        <v>216</v>
      </c>
      <c r="C521" s="9"/>
      <c r="D521" s="10" t="s">
        <v>36</v>
      </c>
      <c r="E521" s="10" t="s">
        <v>45</v>
      </c>
      <c r="F521" s="11" t="s">
        <v>36</v>
      </c>
      <c r="G521" s="12" t="s">
        <v>1124</v>
      </c>
      <c r="I521" s="13" t="str">
        <f>IFERROR(__xludf.DUMMYFUNCTION("if(isblank(A521),,split(A521,""ー""))"),"23-61")</f>
        <v>23-61</v>
      </c>
      <c r="K521" s="13" t="str">
        <f>IFERROR(__xludf.DUMMYFUNCTION("if(isblank(B521),,split(B521,""ー""))"),"23-71")</f>
        <v>23-71</v>
      </c>
    </row>
    <row r="522">
      <c r="A522" s="15" t="s">
        <v>184</v>
      </c>
      <c r="B522" s="16" t="s">
        <v>185</v>
      </c>
      <c r="C522" s="9"/>
      <c r="D522" s="10" t="s">
        <v>36</v>
      </c>
      <c r="E522" s="10" t="s">
        <v>45</v>
      </c>
      <c r="F522" s="11" t="s">
        <v>36</v>
      </c>
      <c r="G522" s="12" t="s">
        <v>1123</v>
      </c>
      <c r="I522" s="13" t="str">
        <f>IFERROR(__xludf.DUMMYFUNCTION("if(isblank(A522),,split(A522,""ー""))"),"23-66")</f>
        <v>23-66</v>
      </c>
      <c r="K522" s="13" t="str">
        <f>IFERROR(__xludf.DUMMYFUNCTION("if(isblank(B522),,split(B522,""ー""))"),"23-107")</f>
        <v>23-107</v>
      </c>
    </row>
    <row r="523">
      <c r="A523" s="15" t="s">
        <v>247</v>
      </c>
      <c r="B523" s="16" t="s">
        <v>267</v>
      </c>
      <c r="C523" s="9"/>
      <c r="D523" s="10" t="s">
        <v>36</v>
      </c>
      <c r="E523" s="10" t="s">
        <v>45</v>
      </c>
      <c r="F523" s="11" t="s">
        <v>36</v>
      </c>
      <c r="G523" s="12" t="s">
        <v>1125</v>
      </c>
      <c r="I523" s="13" t="str">
        <f>IFERROR(__xludf.DUMMYFUNCTION("if(isblank(A523),,split(A523,""ー""))"),"23-67")</f>
        <v>23-67</v>
      </c>
      <c r="K523" s="13" t="str">
        <f>IFERROR(__xludf.DUMMYFUNCTION("if(isblank(B523),,split(B523,""ー""))"),"23-68")</f>
        <v>23-68</v>
      </c>
    </row>
    <row r="524">
      <c r="A524" s="15" t="s">
        <v>247</v>
      </c>
      <c r="B524" s="16" t="s">
        <v>268</v>
      </c>
      <c r="C524" s="9"/>
      <c r="D524" s="10" t="s">
        <v>36</v>
      </c>
      <c r="E524" s="10" t="s">
        <v>45</v>
      </c>
      <c r="F524" s="11" t="s">
        <v>36</v>
      </c>
      <c r="G524" s="12" t="s">
        <v>1124</v>
      </c>
      <c r="I524" s="13" t="str">
        <f>IFERROR(__xludf.DUMMYFUNCTION("if(isblank(A524),,split(A524,""ー""))"),"23-67")</f>
        <v>23-67</v>
      </c>
      <c r="K524" s="13" t="str">
        <f>IFERROR(__xludf.DUMMYFUNCTION("if(isblank(B524),,split(B524,""ー""))"),"23-72")</f>
        <v>23-72</v>
      </c>
    </row>
    <row r="525">
      <c r="A525" s="15" t="s">
        <v>247</v>
      </c>
      <c r="B525" s="16" t="s">
        <v>265</v>
      </c>
      <c r="C525" s="9"/>
      <c r="D525" s="10" t="s">
        <v>36</v>
      </c>
      <c r="E525" s="10" t="s">
        <v>45</v>
      </c>
      <c r="F525" s="11" t="s">
        <v>36</v>
      </c>
      <c r="G525" s="12" t="s">
        <v>1077</v>
      </c>
      <c r="I525" s="13" t="str">
        <f>IFERROR(__xludf.DUMMYFUNCTION("if(isblank(A525),,split(A525,""ー""))"),"23-67")</f>
        <v>23-67</v>
      </c>
      <c r="K525" s="13" t="str">
        <f>IFERROR(__xludf.DUMMYFUNCTION("if(isblank(B525),,split(B525,""ー""))"),"23-96")</f>
        <v>23-96</v>
      </c>
    </row>
    <row r="526">
      <c r="A526" s="15" t="s">
        <v>267</v>
      </c>
      <c r="B526" s="16" t="s">
        <v>268</v>
      </c>
      <c r="C526" s="9"/>
      <c r="D526" s="10" t="s">
        <v>36</v>
      </c>
      <c r="E526" s="10" t="s">
        <v>45</v>
      </c>
      <c r="F526" s="11" t="s">
        <v>36</v>
      </c>
      <c r="G526" s="12" t="s">
        <v>1124</v>
      </c>
      <c r="I526" s="13" t="str">
        <f>IFERROR(__xludf.DUMMYFUNCTION("if(isblank(A526),,split(A526,""ー""))"),"23-68")</f>
        <v>23-68</v>
      </c>
      <c r="K526" s="13" t="str">
        <f>IFERROR(__xludf.DUMMYFUNCTION("if(isblank(B526),,split(B526,""ー""))"),"23-72")</f>
        <v>23-72</v>
      </c>
    </row>
    <row r="527">
      <c r="A527" s="15" t="s">
        <v>267</v>
      </c>
      <c r="B527" s="16" t="s">
        <v>265</v>
      </c>
      <c r="C527" s="9"/>
      <c r="D527" s="10" t="s">
        <v>36</v>
      </c>
      <c r="E527" s="10" t="s">
        <v>45</v>
      </c>
      <c r="F527" s="11" t="s">
        <v>36</v>
      </c>
      <c r="G527" s="12" t="s">
        <v>1077</v>
      </c>
      <c r="I527" s="13" t="str">
        <f>IFERROR(__xludf.DUMMYFUNCTION("if(isblank(A527),,split(A527,""ー""))"),"23-68")</f>
        <v>23-68</v>
      </c>
      <c r="K527" s="13" t="str">
        <f>IFERROR(__xludf.DUMMYFUNCTION("if(isblank(B527),,split(B527,""ー""))"),"23-96")</f>
        <v>23-96</v>
      </c>
    </row>
    <row r="528">
      <c r="A528" s="15" t="s">
        <v>279</v>
      </c>
      <c r="B528" s="16" t="s">
        <v>312</v>
      </c>
      <c r="C528" s="9"/>
      <c r="D528" s="10" t="s">
        <v>36</v>
      </c>
      <c r="E528" s="10" t="s">
        <v>45</v>
      </c>
      <c r="F528" s="11" t="s">
        <v>36</v>
      </c>
      <c r="G528" s="68" t="s">
        <v>1126</v>
      </c>
      <c r="I528" s="13" t="str">
        <f>IFERROR(__xludf.DUMMYFUNCTION("if(isblank(A528),,split(A528,""ー""))"),"23-69")</f>
        <v>23-69</v>
      </c>
      <c r="K528" s="13" t="str">
        <f>IFERROR(__xludf.DUMMYFUNCTION("if(isblank(B528),,split(B528,""ー""))"),"23-114")</f>
        <v>23-114</v>
      </c>
    </row>
    <row r="529">
      <c r="A529" s="15" t="s">
        <v>279</v>
      </c>
      <c r="B529" s="16" t="s">
        <v>285</v>
      </c>
      <c r="C529" s="9"/>
      <c r="D529" s="10" t="s">
        <v>36</v>
      </c>
      <c r="E529" s="10" t="s">
        <v>45</v>
      </c>
      <c r="F529" s="11" t="s">
        <v>36</v>
      </c>
      <c r="G529" s="12" t="s">
        <v>1124</v>
      </c>
      <c r="I529" s="13" t="str">
        <f>IFERROR(__xludf.DUMMYFUNCTION("if(isblank(A529),,split(A529,""ー""))"),"23-69")</f>
        <v>23-69</v>
      </c>
      <c r="K529" s="13" t="str">
        <f>IFERROR(__xludf.DUMMYFUNCTION("if(isblank(B529),,split(B529,""ー""))"),"23-79")</f>
        <v>23-79</v>
      </c>
    </row>
    <row r="530">
      <c r="A530" s="15" t="s">
        <v>279</v>
      </c>
      <c r="B530" s="16" t="s">
        <v>297</v>
      </c>
      <c r="C530" s="9"/>
      <c r="D530" s="10" t="s">
        <v>36</v>
      </c>
      <c r="E530" s="10" t="s">
        <v>45</v>
      </c>
      <c r="F530" s="11" t="s">
        <v>36</v>
      </c>
      <c r="G530" s="12" t="s">
        <v>1077</v>
      </c>
      <c r="I530" s="13" t="str">
        <f>IFERROR(__xludf.DUMMYFUNCTION("if(isblank(A530),,split(A530,""ー""))"),"23-69")</f>
        <v>23-69</v>
      </c>
      <c r="K530" s="13" t="str">
        <f>IFERROR(__xludf.DUMMYFUNCTION("if(isblank(B530),,split(B530,""ー""))"),"23-90")</f>
        <v>23-90</v>
      </c>
    </row>
    <row r="531">
      <c r="A531" s="15" t="s">
        <v>279</v>
      </c>
      <c r="B531" s="16" t="s">
        <v>306</v>
      </c>
      <c r="C531" s="9"/>
      <c r="D531" s="10" t="s">
        <v>36</v>
      </c>
      <c r="E531" s="10" t="s">
        <v>45</v>
      </c>
      <c r="F531" s="11" t="s">
        <v>36</v>
      </c>
      <c r="G531" s="12" t="s">
        <v>1077</v>
      </c>
      <c r="I531" s="13" t="str">
        <f>IFERROR(__xludf.DUMMYFUNCTION("if(isblank(A531),,split(A531,""ー""))"),"23-69")</f>
        <v>23-69</v>
      </c>
      <c r="K531" s="13" t="str">
        <f>IFERROR(__xludf.DUMMYFUNCTION("if(isblank(B531),,split(B531,""ー""))"),"23-94")</f>
        <v>23-94</v>
      </c>
    </row>
    <row r="532">
      <c r="A532" s="15" t="s">
        <v>279</v>
      </c>
      <c r="B532" s="16" t="s">
        <v>309</v>
      </c>
      <c r="C532" s="9"/>
      <c r="D532" s="10" t="s">
        <v>36</v>
      </c>
      <c r="E532" s="10" t="s">
        <v>45</v>
      </c>
      <c r="F532" s="11" t="s">
        <v>36</v>
      </c>
      <c r="G532" s="12" t="s">
        <v>1077</v>
      </c>
      <c r="I532" s="13" t="str">
        <f>IFERROR(__xludf.DUMMYFUNCTION("if(isblank(A532),,split(A532,""ー""))"),"23-69")</f>
        <v>23-69</v>
      </c>
      <c r="K532" s="13" t="str">
        <f>IFERROR(__xludf.DUMMYFUNCTION("if(isblank(B532),,split(B532,""ー""))"),"23-98")</f>
        <v>23-98</v>
      </c>
    </row>
    <row r="533">
      <c r="A533" s="15" t="s">
        <v>268</v>
      </c>
      <c r="B533" s="16" t="s">
        <v>265</v>
      </c>
      <c r="C533" s="9"/>
      <c r="D533" s="10" t="s">
        <v>36</v>
      </c>
      <c r="E533" s="10" t="s">
        <v>45</v>
      </c>
      <c r="F533" s="11" t="s">
        <v>36</v>
      </c>
      <c r="G533" s="12" t="s">
        <v>1077</v>
      </c>
      <c r="I533" s="13" t="str">
        <f>IFERROR(__xludf.DUMMYFUNCTION("if(isblank(A533),,split(A533,""ー""))"),"23-72")</f>
        <v>23-72</v>
      </c>
      <c r="K533" s="13" t="str">
        <f>IFERROR(__xludf.DUMMYFUNCTION("if(isblank(B533),,split(B533,""ー""))"),"23-96")</f>
        <v>23-96</v>
      </c>
    </row>
    <row r="534">
      <c r="A534" s="15" t="s">
        <v>194</v>
      </c>
      <c r="B534" s="16" t="s">
        <v>218</v>
      </c>
      <c r="C534" s="9"/>
      <c r="D534" s="10" t="s">
        <v>36</v>
      </c>
      <c r="E534" s="10" t="s">
        <v>45</v>
      </c>
      <c r="F534" s="11" t="s">
        <v>36</v>
      </c>
      <c r="G534" s="49" t="s">
        <v>1031</v>
      </c>
      <c r="I534" s="13" t="str">
        <f>IFERROR(__xludf.DUMMYFUNCTION("if(isblank(A534),,split(A534,""ー""))"),"23-75")</f>
        <v>23-75</v>
      </c>
      <c r="K534" s="13" t="str">
        <f>IFERROR(__xludf.DUMMYFUNCTION("if(isblank(B534),,split(B534,""ー""))"),"23-136")</f>
        <v>23-136</v>
      </c>
    </row>
    <row r="535">
      <c r="A535" s="15" t="s">
        <v>194</v>
      </c>
      <c r="B535" s="16" t="s">
        <v>220</v>
      </c>
      <c r="C535" s="9"/>
      <c r="D535" s="10" t="s">
        <v>36</v>
      </c>
      <c r="E535" s="10" t="s">
        <v>45</v>
      </c>
      <c r="F535" s="11" t="s">
        <v>36</v>
      </c>
      <c r="G535" s="12" t="s">
        <v>1124</v>
      </c>
      <c r="I535" s="13" t="str">
        <f>IFERROR(__xludf.DUMMYFUNCTION("if(isblank(A535),,split(A535,""ー""))"),"23-75")</f>
        <v>23-75</v>
      </c>
      <c r="K535" s="13" t="str">
        <f>IFERROR(__xludf.DUMMYFUNCTION("if(isblank(B535),,split(B535,""ー""))"),"23-76")</f>
        <v>23-76</v>
      </c>
    </row>
    <row r="536">
      <c r="A536" s="15" t="s">
        <v>220</v>
      </c>
      <c r="B536" s="16" t="s">
        <v>222</v>
      </c>
      <c r="C536" s="9"/>
      <c r="D536" s="10" t="s">
        <v>36</v>
      </c>
      <c r="E536" s="10" t="s">
        <v>45</v>
      </c>
      <c r="F536" s="11" t="s">
        <v>36</v>
      </c>
      <c r="G536" s="68" t="s">
        <v>1123</v>
      </c>
      <c r="I536" s="13" t="str">
        <f>IFERROR(__xludf.DUMMYFUNCTION("if(isblank(A536),,split(A536,""ー""))"),"23-76")</f>
        <v>23-76</v>
      </c>
      <c r="K536" s="13" t="str">
        <f>IFERROR(__xludf.DUMMYFUNCTION("if(isblank(B536),,split(B536,""ー""))"),"23-108")</f>
        <v>23-108</v>
      </c>
    </row>
    <row r="537">
      <c r="A537" s="15" t="s">
        <v>249</v>
      </c>
      <c r="B537" s="16" t="s">
        <v>270</v>
      </c>
      <c r="C537" s="9"/>
      <c r="D537" s="10" t="s">
        <v>36</v>
      </c>
      <c r="E537" s="10" t="s">
        <v>45</v>
      </c>
      <c r="F537" s="11" t="s">
        <v>36</v>
      </c>
      <c r="G537" s="12" t="s">
        <v>1124</v>
      </c>
      <c r="I537" s="13" t="str">
        <f>IFERROR(__xludf.DUMMYFUNCTION("if(isblank(A537),,split(A537,""ー""))"),"23-77")</f>
        <v>23-77</v>
      </c>
      <c r="K537" s="13" t="str">
        <f>IFERROR(__xludf.DUMMYFUNCTION("if(isblank(B537),,split(B537,""ー""))"),"23-78")</f>
        <v>23-78</v>
      </c>
    </row>
    <row r="538">
      <c r="A538" s="15" t="s">
        <v>285</v>
      </c>
      <c r="B538" s="16" t="s">
        <v>324</v>
      </c>
      <c r="C538" s="9"/>
      <c r="D538" s="10" t="s">
        <v>36</v>
      </c>
      <c r="E538" s="10" t="s">
        <v>45</v>
      </c>
      <c r="F538" s="11" t="s">
        <v>36</v>
      </c>
      <c r="G538" s="68" t="s">
        <v>1035</v>
      </c>
      <c r="I538" s="13" t="str">
        <f>IFERROR(__xludf.DUMMYFUNCTION("if(isblank(A538),,split(A538,""ー""))"),"23-79")</f>
        <v>23-79</v>
      </c>
      <c r="K538" s="13" t="str">
        <f>IFERROR(__xludf.DUMMYFUNCTION("if(isblank(B538),,split(B538,""ー""))"),"23-119")</f>
        <v>23-119</v>
      </c>
    </row>
    <row r="539">
      <c r="A539" s="15" t="s">
        <v>285</v>
      </c>
      <c r="B539" s="16" t="s">
        <v>320</v>
      </c>
      <c r="C539" s="9"/>
      <c r="D539" s="10" t="s">
        <v>36</v>
      </c>
      <c r="E539" s="10" t="s">
        <v>45</v>
      </c>
      <c r="F539" s="11" t="s">
        <v>36</v>
      </c>
      <c r="G539" s="49" t="s">
        <v>1031</v>
      </c>
      <c r="I539" s="13" t="str">
        <f>IFERROR(__xludf.DUMMYFUNCTION("if(isblank(A539),,split(A539,""ー""))"),"23-79")</f>
        <v>23-79</v>
      </c>
      <c r="K539" s="13" t="str">
        <f>IFERROR(__xludf.DUMMYFUNCTION("if(isblank(B539),,split(B539,""ー""))"),"23-135")</f>
        <v>23-135</v>
      </c>
    </row>
    <row r="540">
      <c r="A540" s="15" t="s">
        <v>285</v>
      </c>
      <c r="B540" s="16" t="s">
        <v>292</v>
      </c>
      <c r="C540" s="9"/>
      <c r="D540" s="10" t="s">
        <v>36</v>
      </c>
      <c r="E540" s="10" t="s">
        <v>45</v>
      </c>
      <c r="F540" s="11" t="s">
        <v>36</v>
      </c>
      <c r="G540" s="12" t="s">
        <v>1103</v>
      </c>
      <c r="I540" s="13" t="str">
        <f>IFERROR(__xludf.DUMMYFUNCTION("if(isblank(A540),,split(A540,""ー""))"),"23-79")</f>
        <v>23-79</v>
      </c>
      <c r="K540" s="13" t="str">
        <f>IFERROR(__xludf.DUMMYFUNCTION("if(isblank(B540),,split(B540,""ー""))"),"23-84")</f>
        <v>23-84</v>
      </c>
    </row>
    <row r="541">
      <c r="A541" s="15" t="s">
        <v>68</v>
      </c>
      <c r="B541" s="16" t="s">
        <v>107</v>
      </c>
      <c r="C541" s="9"/>
      <c r="D541" s="10" t="s">
        <v>1078</v>
      </c>
      <c r="E541" s="10" t="s">
        <v>45</v>
      </c>
      <c r="F541" s="11" t="s">
        <v>1104</v>
      </c>
      <c r="G541" s="64" t="s">
        <v>1127</v>
      </c>
      <c r="I541" s="13" t="str">
        <f>IFERROR(__xludf.DUMMYFUNCTION("if(isblank(A541),,split(A541,""ー""))"),"23-8")</f>
        <v>23-8</v>
      </c>
      <c r="K541" s="13" t="str">
        <f>IFERROR(__xludf.DUMMYFUNCTION("if(isblank(B541),,split(B541,""ー""))"),"23-11")</f>
        <v>23-11</v>
      </c>
    </row>
    <row r="542">
      <c r="A542" s="15" t="s">
        <v>68</v>
      </c>
      <c r="B542" s="16" t="s">
        <v>108</v>
      </c>
      <c r="C542" s="9"/>
      <c r="D542" s="10" t="s">
        <v>1078</v>
      </c>
      <c r="E542" s="10" t="s">
        <v>45</v>
      </c>
      <c r="F542" s="11" t="s">
        <v>1104</v>
      </c>
      <c r="G542" s="64" t="s">
        <v>1106</v>
      </c>
      <c r="I542" s="13" t="str">
        <f>IFERROR(__xludf.DUMMYFUNCTION("if(isblank(A542),,split(A542,""ー""))"),"23-8")</f>
        <v>23-8</v>
      </c>
      <c r="K542" s="13" t="str">
        <f>IFERROR(__xludf.DUMMYFUNCTION("if(isblank(B542),,split(B542,""ー""))"),"23-14")</f>
        <v>23-14</v>
      </c>
    </row>
    <row r="543">
      <c r="A543" s="15" t="s">
        <v>68</v>
      </c>
      <c r="B543" s="16" t="s">
        <v>71</v>
      </c>
      <c r="C543" s="9"/>
      <c r="D543" s="10" t="s">
        <v>1078</v>
      </c>
      <c r="E543" s="10" t="s">
        <v>45</v>
      </c>
      <c r="F543" s="11" t="s">
        <v>1128</v>
      </c>
      <c r="G543" s="68" t="s">
        <v>1106</v>
      </c>
      <c r="I543" s="13" t="str">
        <f>IFERROR(__xludf.DUMMYFUNCTION("if(isblank(A543),,split(A543,""ー""))"),"23-8")</f>
        <v>23-8</v>
      </c>
      <c r="K543" s="13" t="str">
        <f>IFERROR(__xludf.DUMMYFUNCTION("if(isblank(B543),,split(B543,""ー""))"),"23-15")</f>
        <v>23-15</v>
      </c>
    </row>
    <row r="544">
      <c r="A544" s="15" t="s">
        <v>68</v>
      </c>
      <c r="B544" s="16" t="s">
        <v>111</v>
      </c>
      <c r="C544" s="9"/>
      <c r="D544" s="10" t="s">
        <v>1078</v>
      </c>
      <c r="E544" s="10" t="s">
        <v>45</v>
      </c>
      <c r="F544" s="11" t="s">
        <v>1104</v>
      </c>
      <c r="G544" s="64" t="s">
        <v>1108</v>
      </c>
      <c r="I544" s="13" t="str">
        <f>IFERROR(__xludf.DUMMYFUNCTION("if(isblank(A544),,split(A544,""ー""))"),"23-8")</f>
        <v>23-8</v>
      </c>
      <c r="K544" s="13" t="str">
        <f>IFERROR(__xludf.DUMMYFUNCTION("if(isblank(B544),,split(B544,""ー""))"),"23-20")</f>
        <v>23-20</v>
      </c>
    </row>
    <row r="545">
      <c r="A545" s="15" t="s">
        <v>68</v>
      </c>
      <c r="B545" s="16" t="s">
        <v>112</v>
      </c>
      <c r="C545" s="9"/>
      <c r="D545" s="10" t="s">
        <v>1078</v>
      </c>
      <c r="E545" s="10" t="s">
        <v>45</v>
      </c>
      <c r="F545" s="11" t="s">
        <v>1104</v>
      </c>
      <c r="G545" s="64" t="s">
        <v>1129</v>
      </c>
      <c r="I545" s="13" t="str">
        <f>IFERROR(__xludf.DUMMYFUNCTION("if(isblank(A545),,split(A545,""ー""))"),"23-8")</f>
        <v>23-8</v>
      </c>
      <c r="K545" s="13" t="str">
        <f>IFERROR(__xludf.DUMMYFUNCTION("if(isblank(B545),,split(B545,""ー""))"),"23-21")</f>
        <v>23-21</v>
      </c>
    </row>
    <row r="546">
      <c r="A546" s="15" t="s">
        <v>68</v>
      </c>
      <c r="B546" s="16" t="s">
        <v>113</v>
      </c>
      <c r="C546" s="9"/>
      <c r="D546" s="10" t="s">
        <v>1078</v>
      </c>
      <c r="E546" s="10" t="s">
        <v>45</v>
      </c>
      <c r="F546" s="11" t="s">
        <v>1104</v>
      </c>
      <c r="G546" s="64" t="s">
        <v>1129</v>
      </c>
      <c r="I546" s="13" t="str">
        <f>IFERROR(__xludf.DUMMYFUNCTION("if(isblank(A546),,split(A546,""ー""))"),"23-8")</f>
        <v>23-8</v>
      </c>
      <c r="K546" s="13" t="str">
        <f>IFERROR(__xludf.DUMMYFUNCTION("if(isblank(B546),,split(B546,""ー""))"),"23-22")</f>
        <v>23-22</v>
      </c>
    </row>
    <row r="547">
      <c r="A547" s="15" t="s">
        <v>68</v>
      </c>
      <c r="B547" s="16" t="s">
        <v>73</v>
      </c>
      <c r="C547" s="9"/>
      <c r="D547" s="10" t="s">
        <v>1078</v>
      </c>
      <c r="E547" s="10" t="s">
        <v>45</v>
      </c>
      <c r="F547" s="11" t="s">
        <v>1128</v>
      </c>
      <c r="G547" s="64" t="s">
        <v>1129</v>
      </c>
      <c r="I547" s="13" t="str">
        <f>IFERROR(__xludf.DUMMYFUNCTION("if(isblank(A547),,split(A547,""ー""))"),"23-8")</f>
        <v>23-8</v>
      </c>
      <c r="K547" s="13" t="str">
        <f>IFERROR(__xludf.DUMMYFUNCTION("if(isblank(B547),,split(B547,""ー""))"),"23-23")</f>
        <v>23-23</v>
      </c>
    </row>
    <row r="548">
      <c r="A548" s="15" t="s">
        <v>1130</v>
      </c>
      <c r="B548" s="16" t="s">
        <v>353</v>
      </c>
      <c r="C548" s="9"/>
      <c r="D548" s="10" t="s">
        <v>36</v>
      </c>
      <c r="E548" s="10" t="s">
        <v>45</v>
      </c>
      <c r="F548" s="11" t="s">
        <v>355</v>
      </c>
      <c r="G548" s="68" t="s">
        <v>1124</v>
      </c>
      <c r="I548" s="13" t="str">
        <f>IFERROR(__xludf.DUMMYFUNCTION("if(isblank(A548),,split(A548,""ー""))"),"23-80")</f>
        <v>23-80</v>
      </c>
      <c r="K548" s="13" t="str">
        <f>IFERROR(__xludf.DUMMYFUNCTION("if(isblank(B548),,split(B548,""ー""))"),"20-2")</f>
        <v>20-2</v>
      </c>
    </row>
    <row r="549">
      <c r="A549" s="15" t="s">
        <v>99</v>
      </c>
      <c r="B549" s="16" t="s">
        <v>104</v>
      </c>
      <c r="C549" s="9"/>
      <c r="D549" s="10" t="s">
        <v>1078</v>
      </c>
      <c r="E549" s="10" t="s">
        <v>45</v>
      </c>
      <c r="F549" s="11" t="s">
        <v>36</v>
      </c>
      <c r="G549" s="64" t="s">
        <v>1131</v>
      </c>
      <c r="I549" s="13" t="str">
        <f>IFERROR(__xludf.DUMMYFUNCTION("if(isblank(A549),,split(A549,""ー""))"),"23-9")</f>
        <v>23-9</v>
      </c>
      <c r="K549" s="13" t="str">
        <f>IFERROR(__xludf.DUMMYFUNCTION("if(isblank(B549),,split(B549,""ー""))"),"23-25")</f>
        <v>23-25</v>
      </c>
    </row>
    <row r="550">
      <c r="A550" s="15" t="s">
        <v>297</v>
      </c>
      <c r="B550" s="16" t="s">
        <v>314</v>
      </c>
      <c r="C550" s="9"/>
      <c r="D550" s="10" t="s">
        <v>36</v>
      </c>
      <c r="E550" s="10" t="s">
        <v>45</v>
      </c>
      <c r="F550" s="11" t="s">
        <v>36</v>
      </c>
      <c r="G550" s="68" t="s">
        <v>1123</v>
      </c>
      <c r="I550" s="13" t="str">
        <f>IFERROR(__xludf.DUMMYFUNCTION("if(isblank(A550),,split(A550,""ー""))"),"23-90")</f>
        <v>23-90</v>
      </c>
      <c r="K550" s="13" t="str">
        <f>IFERROR(__xludf.DUMMYFUNCTION("if(isblank(B550),,split(B550,""ー""))"),"23-109")</f>
        <v>23-109</v>
      </c>
    </row>
    <row r="551">
      <c r="A551" s="15" t="s">
        <v>297</v>
      </c>
      <c r="B551" s="16" t="s">
        <v>315</v>
      </c>
      <c r="C551" s="9"/>
      <c r="D551" s="10" t="s">
        <v>36</v>
      </c>
      <c r="E551" s="10" t="s">
        <v>45</v>
      </c>
      <c r="F551" s="11" t="s">
        <v>36</v>
      </c>
      <c r="G551" s="49" t="s">
        <v>1031</v>
      </c>
      <c r="I551" s="13" t="str">
        <f>IFERROR(__xludf.DUMMYFUNCTION("if(isblank(A551),,split(A551,""ー""))"),"23-90")</f>
        <v>23-90</v>
      </c>
      <c r="K551" s="13" t="str">
        <f>IFERROR(__xludf.DUMMYFUNCTION("if(isblank(B551),,split(B551,""ー""))"),"23-138")</f>
        <v>23-138</v>
      </c>
    </row>
    <row r="552">
      <c r="A552" s="15" t="s">
        <v>254</v>
      </c>
      <c r="B552" s="16" t="s">
        <v>272</v>
      </c>
      <c r="C552" s="9"/>
      <c r="D552" s="10" t="s">
        <v>36</v>
      </c>
      <c r="E552" s="10" t="s">
        <v>45</v>
      </c>
      <c r="F552" s="11" t="s">
        <v>36</v>
      </c>
      <c r="G552" s="12" t="s">
        <v>1126</v>
      </c>
      <c r="I552" s="13" t="str">
        <f>IFERROR(__xludf.DUMMYFUNCTION("if(isblank(A552),,split(A552,""ー""))"),"23-95")</f>
        <v>23-95</v>
      </c>
      <c r="K552" s="13" t="str">
        <f>IFERROR(__xludf.DUMMYFUNCTION("if(isblank(B552),,split(B552,""ー""))"),"23-113")</f>
        <v>23-113</v>
      </c>
    </row>
    <row r="553">
      <c r="A553" s="15" t="s">
        <v>254</v>
      </c>
      <c r="B553" s="16" t="s">
        <v>276</v>
      </c>
      <c r="C553" s="9"/>
      <c r="D553" s="10" t="s">
        <v>36</v>
      </c>
      <c r="E553" s="10" t="s">
        <v>45</v>
      </c>
      <c r="F553" s="11" t="s">
        <v>36</v>
      </c>
      <c r="G553" s="68" t="s">
        <v>1035</v>
      </c>
      <c r="I553" s="13" t="str">
        <f>IFERROR(__xludf.DUMMYFUNCTION("if(isblank(A553),,split(A553,""ー""))"),"23-95")</f>
        <v>23-95</v>
      </c>
      <c r="K553" s="13" t="str">
        <f>IFERROR(__xludf.DUMMYFUNCTION("if(isblank(B553),,split(B553,""ー""))"),"23-120")</f>
        <v>23-120</v>
      </c>
    </row>
    <row r="554">
      <c r="A554" s="7" t="s">
        <v>1132</v>
      </c>
      <c r="B554" s="8" t="s">
        <v>1133</v>
      </c>
      <c r="C554" s="9"/>
      <c r="D554" s="10" t="s">
        <v>1134</v>
      </c>
      <c r="E554" s="10" t="s">
        <v>1135</v>
      </c>
      <c r="F554" s="11" t="s">
        <v>1136</v>
      </c>
      <c r="G554" s="12" t="s">
        <v>1137</v>
      </c>
      <c r="I554" s="13" t="str">
        <f>IFERROR(__xludf.DUMMYFUNCTION("if(isblank(A554),,split(A554,""ー""))"),"24-11")</f>
        <v>24-11</v>
      </c>
      <c r="K554" s="13" t="str">
        <f>IFERROR(__xludf.DUMMYFUNCTION("if(isblank(B554),,split(B554,""ー""))"),"24-14")</f>
        <v>24-14</v>
      </c>
    </row>
    <row r="555">
      <c r="A555" s="7" t="s">
        <v>1138</v>
      </c>
      <c r="B555" s="8" t="s">
        <v>1139</v>
      </c>
      <c r="C555" s="9">
        <v>43885.0</v>
      </c>
      <c r="D555" s="10" t="s">
        <v>1140</v>
      </c>
      <c r="E555" s="10" t="s">
        <v>1135</v>
      </c>
      <c r="F555" s="92" t="s">
        <v>355</v>
      </c>
      <c r="G555" s="64" t="s">
        <v>1141</v>
      </c>
      <c r="I555" s="13" t="str">
        <f>IFERROR(__xludf.DUMMYFUNCTION("if(isblank(A555),,split(A555,""ー""))"),"24-3")</f>
        <v>24-3</v>
      </c>
      <c r="K555" s="13" t="str">
        <f>IFERROR(__xludf.DUMMYFUNCTION("if(isblank(B555),,split(B555,""ー""))"),"24-4")</f>
        <v>24-4</v>
      </c>
    </row>
    <row r="556">
      <c r="A556" s="7" t="s">
        <v>1138</v>
      </c>
      <c r="B556" s="8" t="s">
        <v>1142</v>
      </c>
      <c r="C556" s="9"/>
      <c r="D556" s="10" t="s">
        <v>1140</v>
      </c>
      <c r="E556" s="10" t="s">
        <v>1135</v>
      </c>
      <c r="F556" s="92" t="s">
        <v>36</v>
      </c>
      <c r="G556" s="64" t="s">
        <v>1141</v>
      </c>
      <c r="I556" s="13" t="str">
        <f>IFERROR(__xludf.DUMMYFUNCTION("if(isblank(A556),,split(A556,""ー""))"),"24-3")</f>
        <v>24-3</v>
      </c>
      <c r="K556" s="13" t="str">
        <f>IFERROR(__xludf.DUMMYFUNCTION("if(isblank(B556),,split(B556,""ー""))"),"24-5")</f>
        <v>24-5</v>
      </c>
    </row>
    <row r="557">
      <c r="A557" s="7" t="s">
        <v>1138</v>
      </c>
      <c r="B557" s="8" t="s">
        <v>1143</v>
      </c>
      <c r="C557" s="9">
        <v>43885.0</v>
      </c>
      <c r="D557" s="10" t="s">
        <v>1140</v>
      </c>
      <c r="E557" s="10" t="s">
        <v>1135</v>
      </c>
      <c r="F557" s="92" t="s">
        <v>355</v>
      </c>
      <c r="G557" s="64" t="s">
        <v>1141</v>
      </c>
      <c r="I557" s="13" t="str">
        <f>IFERROR(__xludf.DUMMYFUNCTION("if(isblank(A557),,split(A557,""ー""))"),"24-3")</f>
        <v>24-3</v>
      </c>
      <c r="K557" s="13" t="str">
        <f>IFERROR(__xludf.DUMMYFUNCTION("if(isblank(B557),,split(B557,""ー""))"),"24-6")</f>
        <v>24-6</v>
      </c>
    </row>
    <row r="558">
      <c r="A558" s="7" t="s">
        <v>1138</v>
      </c>
      <c r="B558" s="8" t="s">
        <v>1144</v>
      </c>
      <c r="C558" s="9"/>
      <c r="D558" s="10" t="s">
        <v>1140</v>
      </c>
      <c r="E558" s="10" t="s">
        <v>1135</v>
      </c>
      <c r="F558" s="92" t="s">
        <v>36</v>
      </c>
      <c r="G558" s="64" t="s">
        <v>1141</v>
      </c>
      <c r="I558" s="13" t="str">
        <f>IFERROR(__xludf.DUMMYFUNCTION("if(isblank(A558),,split(A558,""ー""))"),"24-3")</f>
        <v>24-3</v>
      </c>
      <c r="K558" s="13" t="str">
        <f>IFERROR(__xludf.DUMMYFUNCTION("if(isblank(B558),,split(B558,""ー""))"),"24-7")</f>
        <v>24-7</v>
      </c>
    </row>
    <row r="559">
      <c r="A559" s="7" t="s">
        <v>1138</v>
      </c>
      <c r="B559" s="8" t="s">
        <v>1145</v>
      </c>
      <c r="C559" s="9"/>
      <c r="D559" s="10" t="s">
        <v>1140</v>
      </c>
      <c r="E559" s="10" t="s">
        <v>1135</v>
      </c>
      <c r="F559" s="92" t="s">
        <v>36</v>
      </c>
      <c r="G559" s="64" t="s">
        <v>1141</v>
      </c>
      <c r="I559" s="13" t="str">
        <f>IFERROR(__xludf.DUMMYFUNCTION("if(isblank(A559),,split(A559,""ー""))"),"24-3")</f>
        <v>24-3</v>
      </c>
      <c r="K559" s="13" t="str">
        <f>IFERROR(__xludf.DUMMYFUNCTION("if(isblank(B559),,split(B559,""ー""))"),"24-8")</f>
        <v>24-8</v>
      </c>
    </row>
    <row r="560">
      <c r="A560" s="7" t="s">
        <v>1142</v>
      </c>
      <c r="B560" s="8" t="s">
        <v>353</v>
      </c>
      <c r="C560" s="9">
        <v>43885.0</v>
      </c>
      <c r="D560" s="10" t="s">
        <v>36</v>
      </c>
      <c r="E560" s="10" t="s">
        <v>1135</v>
      </c>
      <c r="F560" s="11" t="s">
        <v>355</v>
      </c>
      <c r="G560" s="64" t="s">
        <v>1146</v>
      </c>
      <c r="I560" s="13" t="str">
        <f>IFERROR(__xludf.DUMMYFUNCTION("if(isblank(A560),,split(A560,""ー""))"),"24-5")</f>
        <v>24-5</v>
      </c>
      <c r="K560" s="13" t="str">
        <f>IFERROR(__xludf.DUMMYFUNCTION("if(isblank(B560),,split(B560,""ー""))"),"20-2")</f>
        <v>20-2</v>
      </c>
    </row>
    <row r="561">
      <c r="A561" s="7" t="s">
        <v>1144</v>
      </c>
      <c r="B561" s="8" t="s">
        <v>353</v>
      </c>
      <c r="C561" s="9">
        <v>43885.0</v>
      </c>
      <c r="D561" s="10" t="s">
        <v>36</v>
      </c>
      <c r="E561" s="10" t="s">
        <v>1135</v>
      </c>
      <c r="F561" s="11" t="s">
        <v>355</v>
      </c>
      <c r="G561" s="64" t="s">
        <v>1146</v>
      </c>
      <c r="I561" s="13" t="str">
        <f>IFERROR(__xludf.DUMMYFUNCTION("if(isblank(A561),,split(A561,""ー""))"),"24-7")</f>
        <v>24-7</v>
      </c>
      <c r="K561" s="13" t="str">
        <f>IFERROR(__xludf.DUMMYFUNCTION("if(isblank(B561),,split(B561,""ー""))"),"20-2")</f>
        <v>20-2</v>
      </c>
    </row>
    <row r="562">
      <c r="A562" s="15" t="s">
        <v>1147</v>
      </c>
      <c r="B562" s="16" t="s">
        <v>1148</v>
      </c>
      <c r="C562" s="9"/>
      <c r="D562" s="10" t="s">
        <v>360</v>
      </c>
      <c r="E562" s="10" t="s">
        <v>1149</v>
      </c>
      <c r="F562" s="93" t="s">
        <v>1150</v>
      </c>
      <c r="G562" s="12" t="s">
        <v>1151</v>
      </c>
      <c r="I562" s="13" t="str">
        <f>IFERROR(__xludf.DUMMYFUNCTION("if(isblank(A562),,split(A562,""ー""))"),"25-2")</f>
        <v>25-2</v>
      </c>
      <c r="K562" s="13" t="str">
        <f>IFERROR(__xludf.DUMMYFUNCTION("if(isblank(B562),,split(B562,""ー""))"),"25-3")</f>
        <v>25-3</v>
      </c>
    </row>
    <row r="563">
      <c r="A563" s="15" t="s">
        <v>1152</v>
      </c>
      <c r="B563" s="16" t="s">
        <v>1153</v>
      </c>
      <c r="C563" s="9"/>
      <c r="D563" s="10" t="s">
        <v>360</v>
      </c>
      <c r="E563" s="10" t="s">
        <v>1149</v>
      </c>
      <c r="F563" s="93" t="s">
        <v>1154</v>
      </c>
      <c r="G563" s="12" t="s">
        <v>1155</v>
      </c>
      <c r="I563" s="13" t="str">
        <f>IFERROR(__xludf.DUMMYFUNCTION("if(isblank(A563),,split(A563,""ー""))"),"25-8")</f>
        <v>25-8</v>
      </c>
      <c r="K563" s="13" t="str">
        <f>IFERROR(__xludf.DUMMYFUNCTION("if(isblank(B563),,split(B563,""ー""))"),"25-16")</f>
        <v>25-16</v>
      </c>
    </row>
    <row r="564">
      <c r="A564" s="15" t="s">
        <v>1152</v>
      </c>
      <c r="B564" s="16" t="s">
        <v>1156</v>
      </c>
      <c r="C564" s="9"/>
      <c r="D564" s="10" t="s">
        <v>30</v>
      </c>
      <c r="E564" s="10" t="s">
        <v>1149</v>
      </c>
      <c r="F564" s="93" t="s">
        <v>1157</v>
      </c>
      <c r="G564" s="12" t="s">
        <v>1155</v>
      </c>
      <c r="I564" s="13" t="str">
        <f>IFERROR(__xludf.DUMMYFUNCTION("if(isblank(A564),,split(A564,""ー""))"),"25-8")</f>
        <v>25-8</v>
      </c>
      <c r="K564" s="13" t="str">
        <f>IFERROR(__xludf.DUMMYFUNCTION("if(isblank(B564),,split(B564,""ー""))"),"25-17")</f>
        <v>25-17</v>
      </c>
    </row>
    <row r="565">
      <c r="A565" s="15" t="s">
        <v>1158</v>
      </c>
      <c r="B565" s="16" t="s">
        <v>353</v>
      </c>
      <c r="C565" s="9"/>
      <c r="D565" s="10" t="s">
        <v>36</v>
      </c>
      <c r="E565" s="10" t="s">
        <v>943</v>
      </c>
      <c r="F565" s="93" t="s">
        <v>355</v>
      </c>
      <c r="G565" s="12" t="s">
        <v>1159</v>
      </c>
      <c r="I565" s="13" t="str">
        <f>IFERROR(__xludf.DUMMYFUNCTION("if(isblank(A565),,split(A565,""ー""))"),"26-12")</f>
        <v>26-12</v>
      </c>
      <c r="K565" s="13" t="str">
        <f>IFERROR(__xludf.DUMMYFUNCTION("if(isblank(B565),,split(B565,""ー""))"),"20-2")</f>
        <v>20-2</v>
      </c>
    </row>
    <row r="566">
      <c r="A566" s="15" t="s">
        <v>1158</v>
      </c>
      <c r="B566" s="16" t="s">
        <v>1160</v>
      </c>
      <c r="C566" s="9"/>
      <c r="D566" s="10" t="s">
        <v>1161</v>
      </c>
      <c r="E566" s="10" t="s">
        <v>943</v>
      </c>
      <c r="F566" s="11" t="s">
        <v>1162</v>
      </c>
      <c r="G566" s="12" t="s">
        <v>1163</v>
      </c>
      <c r="I566" s="13" t="str">
        <f>IFERROR(__xludf.DUMMYFUNCTION("if(isblank(A566),,split(A566,""ー""))"),"26-12")</f>
        <v>26-12</v>
      </c>
      <c r="K566" s="13" t="str">
        <f>IFERROR(__xludf.DUMMYFUNCTION("if(isblank(B566),,split(B566,""ー""))"),"26-15")</f>
        <v>26-15</v>
      </c>
    </row>
    <row r="567">
      <c r="A567" s="15" t="s">
        <v>1160</v>
      </c>
      <c r="B567" s="16" t="s">
        <v>1164</v>
      </c>
      <c r="C567" s="9"/>
      <c r="D567" s="10" t="s">
        <v>1165</v>
      </c>
      <c r="E567" s="10" t="s">
        <v>943</v>
      </c>
      <c r="F567" s="11" t="s">
        <v>1166</v>
      </c>
      <c r="G567" s="12" t="s">
        <v>1167</v>
      </c>
      <c r="I567" s="13" t="str">
        <f>IFERROR(__xludf.DUMMYFUNCTION("if(isblank(A567),,split(A567,""ー""))"),"26-15")</f>
        <v>26-15</v>
      </c>
      <c r="K567" s="13" t="str">
        <f>IFERROR(__xludf.DUMMYFUNCTION("if(isblank(B567),,split(B567,""ー""))"),"26-17")</f>
        <v>26-17</v>
      </c>
    </row>
    <row r="568">
      <c r="A568" s="15" t="s">
        <v>1160</v>
      </c>
      <c r="B568" s="16" t="s">
        <v>1168</v>
      </c>
      <c r="C568" s="9"/>
      <c r="D568" s="10" t="s">
        <v>1165</v>
      </c>
      <c r="E568" s="10" t="s">
        <v>943</v>
      </c>
      <c r="F568" s="11" t="s">
        <v>1166</v>
      </c>
      <c r="G568" s="12" t="s">
        <v>1167</v>
      </c>
      <c r="I568" s="13" t="str">
        <f>IFERROR(__xludf.DUMMYFUNCTION("if(isblank(A568),,split(A568,""ー""))"),"26-15")</f>
        <v>26-15</v>
      </c>
      <c r="K568" s="13" t="str">
        <f>IFERROR(__xludf.DUMMYFUNCTION("if(isblank(B568),,split(B568,""ー""))"),"26-21")</f>
        <v>26-21</v>
      </c>
    </row>
    <row r="569">
      <c r="A569" s="15" t="s">
        <v>1169</v>
      </c>
      <c r="B569" s="16" t="s">
        <v>1170</v>
      </c>
      <c r="C569" s="9">
        <v>43882.0</v>
      </c>
      <c r="D569" s="10" t="s">
        <v>282</v>
      </c>
      <c r="E569" s="10" t="s">
        <v>36</v>
      </c>
      <c r="F569" s="11" t="s">
        <v>283</v>
      </c>
      <c r="G569" s="12" t="s">
        <v>1167</v>
      </c>
      <c r="I569" s="13" t="str">
        <f>IFERROR(__xludf.DUMMYFUNCTION("if(isblank(A569),,split(A569,""ー""))"),"26-18")</f>
        <v>26-18</v>
      </c>
      <c r="K569" s="13" t="str">
        <f>IFERROR(__xludf.DUMMYFUNCTION("if(isblank(B569),,split(B569,""ー""))"),"26-19")</f>
        <v>26-19</v>
      </c>
    </row>
    <row r="570">
      <c r="A570" s="15" t="s">
        <v>1171</v>
      </c>
      <c r="B570" s="16" t="s">
        <v>1172</v>
      </c>
      <c r="C570" s="9"/>
      <c r="D570" s="10" t="s">
        <v>30</v>
      </c>
      <c r="E570" s="10" t="s">
        <v>943</v>
      </c>
      <c r="F570" s="11" t="s">
        <v>1166</v>
      </c>
      <c r="G570" s="12" t="s">
        <v>1173</v>
      </c>
      <c r="I570" s="13" t="str">
        <f>IFERROR(__xludf.DUMMYFUNCTION("if(isblank(A570),,split(A570,""ー""))"),"26-23")</f>
        <v>26-23</v>
      </c>
      <c r="K570" s="13" t="str">
        <f>IFERROR(__xludf.DUMMYFUNCTION("if(isblank(B570),,split(B570,""ー""))"),"26-33")</f>
        <v>26-33</v>
      </c>
    </row>
    <row r="571">
      <c r="A571" s="15" t="s">
        <v>1174</v>
      </c>
      <c r="B571" s="16" t="s">
        <v>1175</v>
      </c>
      <c r="C571" s="9"/>
      <c r="D571" s="10" t="s">
        <v>165</v>
      </c>
      <c r="E571" s="10" t="s">
        <v>943</v>
      </c>
      <c r="F571" s="11" t="s">
        <v>1166</v>
      </c>
      <c r="G571" s="12" t="s">
        <v>1176</v>
      </c>
      <c r="I571" s="13" t="str">
        <f>IFERROR(__xludf.DUMMYFUNCTION("if(isblank(A571),,split(A571,""ー""))"),"26-27")</f>
        <v>26-27</v>
      </c>
      <c r="K571" s="13" t="str">
        <f>IFERROR(__xludf.DUMMYFUNCTION("if(isblank(B571),,split(B571,""ー""))"),"26-31")</f>
        <v>26-31</v>
      </c>
    </row>
    <row r="572">
      <c r="A572" s="15" t="s">
        <v>1177</v>
      </c>
      <c r="B572" s="16" t="s">
        <v>1178</v>
      </c>
      <c r="C572" s="9"/>
      <c r="D572" s="10" t="s">
        <v>30</v>
      </c>
      <c r="E572" s="10" t="s">
        <v>943</v>
      </c>
      <c r="F572" s="11" t="s">
        <v>813</v>
      </c>
      <c r="G572" s="12" t="s">
        <v>1179</v>
      </c>
      <c r="I572" s="13" t="str">
        <f>IFERROR(__xludf.DUMMYFUNCTION("if(isblank(A572),,split(A572,""ー""))"),"26-3")</f>
        <v>26-3</v>
      </c>
      <c r="K572" s="13" t="str">
        <f>IFERROR(__xludf.DUMMYFUNCTION("if(isblank(B572),,split(B572,""ー""))"),"26-4")</f>
        <v>26-4</v>
      </c>
    </row>
    <row r="573">
      <c r="A573" s="94" t="s">
        <v>1180</v>
      </c>
      <c r="B573" s="86" t="s">
        <v>941</v>
      </c>
      <c r="C573" s="9">
        <v>43911.0</v>
      </c>
      <c r="D573" s="6" t="s">
        <v>942</v>
      </c>
      <c r="E573" s="10" t="s">
        <v>943</v>
      </c>
      <c r="F573" s="11" t="s">
        <v>944</v>
      </c>
      <c r="G573" s="68" t="s">
        <v>1181</v>
      </c>
      <c r="I573" s="13" t="str">
        <f>IFERROR(__xludf.DUMMYFUNCTION("if(isblank(A573),,split(A573,""ー""))"),"26-42")</f>
        <v>26-42</v>
      </c>
      <c r="K573" s="13" t="str">
        <f>IFERROR(__xludf.DUMMYFUNCTION("if(isblank(B573),,split(B573,""ー""))"),"38-4")</f>
        <v>38-4</v>
      </c>
    </row>
    <row r="574">
      <c r="A574" s="94" t="s">
        <v>1182</v>
      </c>
      <c r="B574" s="86" t="s">
        <v>941</v>
      </c>
      <c r="C574" s="9">
        <v>43911.0</v>
      </c>
      <c r="D574" s="6" t="s">
        <v>942</v>
      </c>
      <c r="E574" s="10" t="s">
        <v>943</v>
      </c>
      <c r="F574" s="11" t="s">
        <v>944</v>
      </c>
      <c r="G574" s="68" t="s">
        <v>1181</v>
      </c>
      <c r="I574" s="13" t="str">
        <f>IFERROR(__xludf.DUMMYFUNCTION("if(isblank(A574),,split(A574,""ー""))"),"26-43")</f>
        <v>26-43</v>
      </c>
      <c r="K574" s="13" t="str">
        <f>IFERROR(__xludf.DUMMYFUNCTION("if(isblank(B574),,split(B574,""ー""))"),"38-4")</f>
        <v>38-4</v>
      </c>
    </row>
    <row r="575">
      <c r="A575" s="94" t="s">
        <v>1183</v>
      </c>
      <c r="B575" s="86" t="s">
        <v>941</v>
      </c>
      <c r="C575" s="9">
        <v>43911.0</v>
      </c>
      <c r="D575" s="6" t="s">
        <v>942</v>
      </c>
      <c r="E575" s="10" t="s">
        <v>943</v>
      </c>
      <c r="F575" s="11" t="s">
        <v>944</v>
      </c>
      <c r="G575" s="68" t="s">
        <v>1181</v>
      </c>
      <c r="I575" s="13" t="str">
        <f>IFERROR(__xludf.DUMMYFUNCTION("if(isblank(A575),,split(A575,""ー""))"),"26-44")</f>
        <v>26-44</v>
      </c>
      <c r="K575" s="13" t="str">
        <f>IFERROR(__xludf.DUMMYFUNCTION("if(isblank(B575),,split(B575,""ー""))"),"38-4")</f>
        <v>38-4</v>
      </c>
    </row>
    <row r="576">
      <c r="A576" s="94" t="s">
        <v>1184</v>
      </c>
      <c r="B576" s="86" t="s">
        <v>1185</v>
      </c>
      <c r="C576" s="9">
        <v>43913.0</v>
      </c>
      <c r="D576" s="6" t="s">
        <v>1186</v>
      </c>
      <c r="E576" s="10" t="s">
        <v>943</v>
      </c>
      <c r="F576" s="6" t="s">
        <v>1187</v>
      </c>
      <c r="G576" s="68" t="s">
        <v>1188</v>
      </c>
      <c r="I576" s="13" t="str">
        <f>IFERROR(__xludf.DUMMYFUNCTION("if(isblank(A576),,split(A576,""ー""))"),"26-45")</f>
        <v>26-45</v>
      </c>
      <c r="K576" s="13" t="str">
        <f>IFERROR(__xludf.DUMMYFUNCTION("if(isblank(B576),,split(B576,""ー""))"),"26-52")</f>
        <v>26-52</v>
      </c>
    </row>
    <row r="577">
      <c r="A577" s="94" t="s">
        <v>1184</v>
      </c>
      <c r="B577" s="86" t="s">
        <v>1189</v>
      </c>
      <c r="C577" s="9">
        <v>43913.0</v>
      </c>
      <c r="D577" s="6" t="s">
        <v>1186</v>
      </c>
      <c r="E577" s="10" t="s">
        <v>943</v>
      </c>
      <c r="F577" s="6" t="s">
        <v>1187</v>
      </c>
      <c r="G577" s="68" t="s">
        <v>1188</v>
      </c>
      <c r="I577" s="13" t="str">
        <f>IFERROR(__xludf.DUMMYFUNCTION("if(isblank(A577),,split(A577,""ー""))"),"26-45")</f>
        <v>26-45</v>
      </c>
      <c r="K577" s="13" t="str">
        <f>IFERROR(__xludf.DUMMYFUNCTION("if(isblank(B577),,split(B577,""ー""))"),"26-53")</f>
        <v>26-53</v>
      </c>
    </row>
    <row r="578">
      <c r="A578" s="94" t="s">
        <v>1184</v>
      </c>
      <c r="B578" s="86" t="s">
        <v>1190</v>
      </c>
      <c r="C578" s="9">
        <v>43913.0</v>
      </c>
      <c r="D578" s="6" t="s">
        <v>1186</v>
      </c>
      <c r="E578" s="10" t="s">
        <v>943</v>
      </c>
      <c r="F578" s="6" t="s">
        <v>1187</v>
      </c>
      <c r="G578" s="68" t="s">
        <v>1188</v>
      </c>
      <c r="I578" s="13" t="str">
        <f>IFERROR(__xludf.DUMMYFUNCTION("if(isblank(A578),,split(A578,""ー""))"),"26-45")</f>
        <v>26-45</v>
      </c>
      <c r="K578" s="13" t="str">
        <f>IFERROR(__xludf.DUMMYFUNCTION("if(isblank(B578),,split(B578,""ー""))"),"26-54")</f>
        <v>26-54</v>
      </c>
    </row>
    <row r="579">
      <c r="A579" s="94" t="s">
        <v>1184</v>
      </c>
      <c r="B579" s="86" t="s">
        <v>941</v>
      </c>
      <c r="C579" s="9">
        <v>43911.0</v>
      </c>
      <c r="D579" s="6" t="s">
        <v>942</v>
      </c>
      <c r="E579" s="10" t="s">
        <v>943</v>
      </c>
      <c r="F579" s="11" t="s">
        <v>944</v>
      </c>
      <c r="G579" s="68" t="s">
        <v>1191</v>
      </c>
      <c r="I579" s="13" t="str">
        <f>IFERROR(__xludf.DUMMYFUNCTION("if(isblank(A579),,split(A579,""ー""))"),"26-45")</f>
        <v>26-45</v>
      </c>
      <c r="K579" s="13" t="str">
        <f>IFERROR(__xludf.DUMMYFUNCTION("if(isblank(B579),,split(B579,""ー""))"),"38-4")</f>
        <v>38-4</v>
      </c>
    </row>
    <row r="580">
      <c r="A580" s="94" t="s">
        <v>1192</v>
      </c>
      <c r="B580" s="86" t="s">
        <v>941</v>
      </c>
      <c r="C580" s="9">
        <v>43911.0</v>
      </c>
      <c r="D580" s="6" t="s">
        <v>942</v>
      </c>
      <c r="E580" s="10" t="s">
        <v>943</v>
      </c>
      <c r="F580" s="11" t="s">
        <v>944</v>
      </c>
      <c r="G580" s="68" t="s">
        <v>1193</v>
      </c>
      <c r="I580" s="13" t="str">
        <f>IFERROR(__xludf.DUMMYFUNCTION("if(isblank(A580),,split(A580,""ー""))"),"26-48")</f>
        <v>26-48</v>
      </c>
      <c r="K580" s="13" t="str">
        <f>IFERROR(__xludf.DUMMYFUNCTION("if(isblank(B580),,split(B580,""ー""))"),"38-4")</f>
        <v>38-4</v>
      </c>
    </row>
    <row r="581">
      <c r="A581" s="94" t="s">
        <v>1194</v>
      </c>
      <c r="B581" s="86" t="s">
        <v>941</v>
      </c>
      <c r="C581" s="9">
        <v>43911.0</v>
      </c>
      <c r="D581" s="6" t="s">
        <v>942</v>
      </c>
      <c r="E581" s="10" t="s">
        <v>943</v>
      </c>
      <c r="F581" s="11" t="s">
        <v>944</v>
      </c>
      <c r="G581" s="68" t="s">
        <v>1193</v>
      </c>
      <c r="I581" s="13" t="str">
        <f>IFERROR(__xludf.DUMMYFUNCTION("if(isblank(A581),,split(A581,""ー""))"),"26-49")</f>
        <v>26-49</v>
      </c>
      <c r="K581" s="13" t="str">
        <f>IFERROR(__xludf.DUMMYFUNCTION("if(isblank(B581),,split(B581,""ー""))"),"38-4")</f>
        <v>38-4</v>
      </c>
    </row>
    <row r="582">
      <c r="A582" s="94" t="s">
        <v>1195</v>
      </c>
      <c r="B582" s="86" t="s">
        <v>941</v>
      </c>
      <c r="C582" s="9">
        <v>43911.0</v>
      </c>
      <c r="D582" s="6" t="s">
        <v>942</v>
      </c>
      <c r="E582" s="10" t="s">
        <v>943</v>
      </c>
      <c r="F582" s="11" t="s">
        <v>944</v>
      </c>
      <c r="G582" s="68" t="s">
        <v>1196</v>
      </c>
      <c r="I582" s="13" t="str">
        <f>IFERROR(__xludf.DUMMYFUNCTION("if(isblank(A582),,split(A582,""ー""))"),"26-50")</f>
        <v>26-50</v>
      </c>
      <c r="K582" s="13" t="str">
        <f>IFERROR(__xludf.DUMMYFUNCTION("if(isblank(B582),,split(B582,""ー""))"),"38-4")</f>
        <v>38-4</v>
      </c>
    </row>
    <row r="583">
      <c r="A583" s="94" t="s">
        <v>1197</v>
      </c>
      <c r="B583" s="86" t="s">
        <v>941</v>
      </c>
      <c r="C583" s="9">
        <v>43911.0</v>
      </c>
      <c r="D583" s="6" t="s">
        <v>942</v>
      </c>
      <c r="E583" s="10" t="s">
        <v>943</v>
      </c>
      <c r="F583" s="11" t="s">
        <v>944</v>
      </c>
      <c r="G583" s="68" t="s">
        <v>1196</v>
      </c>
      <c r="I583" s="13" t="str">
        <f>IFERROR(__xludf.DUMMYFUNCTION("if(isblank(A583),,split(A583,""ー""))"),"26-51")</f>
        <v>26-51</v>
      </c>
      <c r="K583" s="13" t="str">
        <f>IFERROR(__xludf.DUMMYFUNCTION("if(isblank(B583),,split(B583,""ー""))"),"38-4")</f>
        <v>38-4</v>
      </c>
    </row>
    <row r="584">
      <c r="A584" s="15" t="s">
        <v>1198</v>
      </c>
      <c r="B584" s="16" t="s">
        <v>1199</v>
      </c>
      <c r="C584" s="9"/>
      <c r="D584" s="10" t="s">
        <v>1200</v>
      </c>
      <c r="E584" s="10" t="s">
        <v>943</v>
      </c>
      <c r="F584" s="93" t="s">
        <v>1201</v>
      </c>
      <c r="G584" s="12" t="s">
        <v>1202</v>
      </c>
      <c r="I584" s="13" t="str">
        <f>IFERROR(__xludf.DUMMYFUNCTION("if(isblank(A584),,split(A584,""ー""))"),"26-6")</f>
        <v>26-6</v>
      </c>
      <c r="K584" s="13" t="str">
        <f>IFERROR(__xludf.DUMMYFUNCTION("if(isblank(B584),,split(B584,""ー""))"),"26-7")</f>
        <v>26-7</v>
      </c>
    </row>
    <row r="585">
      <c r="A585" s="15" t="s">
        <v>1203</v>
      </c>
      <c r="B585" s="16" t="s">
        <v>1204</v>
      </c>
      <c r="C585" s="9"/>
      <c r="D585" s="10" t="s">
        <v>1200</v>
      </c>
      <c r="E585" s="10" t="s">
        <v>943</v>
      </c>
      <c r="F585" s="24"/>
      <c r="G585" s="11" t="s">
        <v>1205</v>
      </c>
      <c r="I585" s="13" t="str">
        <f>IFERROR(__xludf.DUMMYFUNCTION("if(isblank(A585),,split(A585,""ー""))"),"26-74")</f>
        <v>26-74</v>
      </c>
      <c r="K585" s="13" t="str">
        <f>IFERROR(__xludf.DUMMYFUNCTION("if(isblank(B585),,split(B585,""ー""))"),"25-14")</f>
        <v>25-14</v>
      </c>
    </row>
    <row r="586">
      <c r="A586" s="15" t="s">
        <v>1206</v>
      </c>
      <c r="B586" s="16" t="s">
        <v>353</v>
      </c>
      <c r="C586" s="9"/>
      <c r="D586" s="10" t="s">
        <v>36</v>
      </c>
      <c r="E586" s="10" t="s">
        <v>943</v>
      </c>
      <c r="F586" s="93" t="s">
        <v>355</v>
      </c>
      <c r="G586" s="12" t="s">
        <v>1167</v>
      </c>
      <c r="I586" s="13" t="str">
        <f>IFERROR(__xludf.DUMMYFUNCTION("if(isblank(A586),,split(A586,""ー""))"),"26-8")</f>
        <v>26-8</v>
      </c>
      <c r="K586" s="13" t="str">
        <f>IFERROR(__xludf.DUMMYFUNCTION("if(isblank(B586),,split(B586,""ー""))"),"20-2")</f>
        <v>20-2</v>
      </c>
    </row>
    <row r="587">
      <c r="A587" s="15" t="s">
        <v>1206</v>
      </c>
      <c r="B587" s="16" t="s">
        <v>1207</v>
      </c>
      <c r="C587" s="9"/>
      <c r="D587" s="10" t="s">
        <v>1200</v>
      </c>
      <c r="E587" s="10" t="s">
        <v>943</v>
      </c>
      <c r="F587" s="95" t="s">
        <v>1208</v>
      </c>
      <c r="G587" s="12" t="s">
        <v>1209</v>
      </c>
      <c r="I587" s="13" t="str">
        <f>IFERROR(__xludf.DUMMYFUNCTION("if(isblank(A587),,split(A587,""ー""))"),"26-8")</f>
        <v>26-8</v>
      </c>
      <c r="K587" s="13" t="str">
        <f>IFERROR(__xludf.DUMMYFUNCTION("if(isblank(B587),,split(B587,""ー""))"),"26-10")</f>
        <v>26-10</v>
      </c>
    </row>
    <row r="588">
      <c r="A588" s="15" t="s">
        <v>1206</v>
      </c>
      <c r="B588" s="16" t="s">
        <v>1210</v>
      </c>
      <c r="C588" s="9"/>
      <c r="D588" s="10" t="s">
        <v>30</v>
      </c>
      <c r="E588" s="10" t="s">
        <v>943</v>
      </c>
      <c r="F588" s="93" t="s">
        <v>36</v>
      </c>
      <c r="G588" s="12" t="s">
        <v>1211</v>
      </c>
      <c r="I588" s="13" t="str">
        <f>IFERROR(__xludf.DUMMYFUNCTION("if(isblank(A588),,split(A588,""ー""))"),"26-8")</f>
        <v>26-8</v>
      </c>
      <c r="K588" s="13" t="str">
        <f>IFERROR(__xludf.DUMMYFUNCTION("if(isblank(B588),,split(B588,""ー""))"),"26-11")</f>
        <v>26-11</v>
      </c>
    </row>
    <row r="589">
      <c r="A589" s="15" t="s">
        <v>1206</v>
      </c>
      <c r="B589" s="16" t="s">
        <v>1212</v>
      </c>
      <c r="C589" s="9"/>
      <c r="D589" s="10" t="s">
        <v>1213</v>
      </c>
      <c r="E589" s="10" t="s">
        <v>943</v>
      </c>
      <c r="F589" s="95" t="s">
        <v>1208</v>
      </c>
      <c r="G589" s="12" t="s">
        <v>1214</v>
      </c>
      <c r="I589" s="13" t="str">
        <f>IFERROR(__xludf.DUMMYFUNCTION("if(isblank(A589),,split(A589,""ー""))"),"26-8")</f>
        <v>26-8</v>
      </c>
      <c r="K589" s="13" t="str">
        <f>IFERROR(__xludf.DUMMYFUNCTION("if(isblank(B589),,split(B589,""ー""))"),"26-13")</f>
        <v>26-13</v>
      </c>
    </row>
    <row r="590">
      <c r="A590" s="15" t="s">
        <v>1206</v>
      </c>
      <c r="B590" s="16" t="s">
        <v>1215</v>
      </c>
      <c r="C590" s="9"/>
      <c r="D590" s="10" t="s">
        <v>1200</v>
      </c>
      <c r="E590" s="10" t="s">
        <v>943</v>
      </c>
      <c r="F590" s="95" t="s">
        <v>1208</v>
      </c>
      <c r="G590" s="12" t="s">
        <v>1209</v>
      </c>
      <c r="I590" s="13" t="str">
        <f>IFERROR(__xludf.DUMMYFUNCTION("if(isblank(A590),,split(A590,""ー""))"),"26-8")</f>
        <v>26-8</v>
      </c>
      <c r="K590" s="13" t="str">
        <f>IFERROR(__xludf.DUMMYFUNCTION("if(isblank(B590),,split(B590,""ー""))"),"26-9")</f>
        <v>26-9</v>
      </c>
    </row>
    <row r="591">
      <c r="A591" s="15" t="s">
        <v>1216</v>
      </c>
      <c r="B591" s="16" t="s">
        <v>1217</v>
      </c>
      <c r="C591" s="9"/>
      <c r="D591" s="6" t="s">
        <v>165</v>
      </c>
      <c r="E591" s="55" t="s">
        <v>1218</v>
      </c>
      <c r="F591" s="6" t="s">
        <v>36</v>
      </c>
      <c r="G591" s="96" t="s">
        <v>1219</v>
      </c>
      <c r="I591" s="13" t="str">
        <f>IFERROR(__xludf.DUMMYFUNCTION("if(isblank(A591),,split(A591,""ー""))"),"27--230")</f>
        <v>27--230</v>
      </c>
      <c r="K591" s="13" t="str">
        <f>IFERROR(__xludf.DUMMYFUNCTION("if(isblank(B591),,split(B591,""ー""))"),"27-322")</f>
        <v>27-322</v>
      </c>
    </row>
    <row r="592">
      <c r="A592" s="94" t="s">
        <v>1220</v>
      </c>
      <c r="B592" s="86" t="s">
        <v>1221</v>
      </c>
      <c r="C592" s="9">
        <v>43842.0</v>
      </c>
      <c r="D592" s="6" t="s">
        <v>1222</v>
      </c>
      <c r="E592" s="6" t="s">
        <v>1218</v>
      </c>
      <c r="F592" s="6" t="s">
        <v>1223</v>
      </c>
      <c r="G592" s="64" t="s">
        <v>1224</v>
      </c>
      <c r="I592" s="13" t="str">
        <f>IFERROR(__xludf.DUMMYFUNCTION("if(isblank(A592),,split(A592,""ー""))"),"27-1")</f>
        <v>27-1</v>
      </c>
      <c r="K592" s="13" t="str">
        <f>IFERROR(__xludf.DUMMYFUNCTION("if(isblank(B592),,split(B592,""ー""))"),"29-1")</f>
        <v>29-1</v>
      </c>
    </row>
    <row r="593">
      <c r="A593" s="94" t="s">
        <v>1225</v>
      </c>
      <c r="B593" s="86" t="s">
        <v>1226</v>
      </c>
      <c r="C593" s="9"/>
      <c r="D593" s="6" t="s">
        <v>165</v>
      </c>
      <c r="E593" s="6" t="s">
        <v>1218</v>
      </c>
      <c r="F593" s="6" t="s">
        <v>36</v>
      </c>
      <c r="G593" s="64" t="s">
        <v>1227</v>
      </c>
      <c r="I593" s="13" t="str">
        <f>IFERROR(__xludf.DUMMYFUNCTION("if(isblank(A593),,split(A593,""ー""))"),"27-107")</f>
        <v>27-107</v>
      </c>
      <c r="K593" s="13" t="str">
        <f>IFERROR(__xludf.DUMMYFUNCTION("if(isblank(B593),,split(B593,""ー""))"),"27-108")</f>
        <v>27-108</v>
      </c>
    </row>
    <row r="594">
      <c r="A594" s="15" t="s">
        <v>1228</v>
      </c>
      <c r="B594" s="16" t="s">
        <v>1229</v>
      </c>
      <c r="C594" s="9"/>
      <c r="D594" s="10" t="s">
        <v>165</v>
      </c>
      <c r="E594" s="10" t="s">
        <v>1218</v>
      </c>
      <c r="F594" s="11" t="s">
        <v>36</v>
      </c>
      <c r="G594" s="12" t="s">
        <v>1230</v>
      </c>
      <c r="I594" s="13" t="str">
        <f>IFERROR(__xludf.DUMMYFUNCTION("if(isblank(A594),,split(A594,""ー""))"),"27-119")</f>
        <v>27-119</v>
      </c>
      <c r="K594" s="13" t="str">
        <f>IFERROR(__xludf.DUMMYFUNCTION("if(isblank(B594),,split(B594,""ー""))"),"27-122")</f>
        <v>27-122</v>
      </c>
    </row>
    <row r="595">
      <c r="A595" s="15" t="s">
        <v>1228</v>
      </c>
      <c r="B595" s="16" t="s">
        <v>1229</v>
      </c>
      <c r="C595" s="9"/>
      <c r="D595" s="10" t="s">
        <v>165</v>
      </c>
      <c r="E595" s="10" t="s">
        <v>1218</v>
      </c>
      <c r="F595" s="11" t="s">
        <v>36</v>
      </c>
      <c r="G595" s="12" t="s">
        <v>1230</v>
      </c>
      <c r="I595" s="13" t="str">
        <f>IFERROR(__xludf.DUMMYFUNCTION("if(isblank(A595),,split(A595,""ー""))"),"27-119")</f>
        <v>27-119</v>
      </c>
      <c r="K595" s="13" t="str">
        <f>IFERROR(__xludf.DUMMYFUNCTION("if(isblank(B595),,split(B595,""ー""))"),"27-122")</f>
        <v>27-122</v>
      </c>
    </row>
    <row r="596">
      <c r="A596" s="15" t="s">
        <v>1228</v>
      </c>
      <c r="B596" s="16" t="s">
        <v>1231</v>
      </c>
      <c r="C596" s="9"/>
      <c r="D596" s="10" t="s">
        <v>165</v>
      </c>
      <c r="E596" s="10" t="s">
        <v>1218</v>
      </c>
      <c r="F596" s="11" t="s">
        <v>36</v>
      </c>
      <c r="G596" s="12" t="s">
        <v>1230</v>
      </c>
      <c r="I596" s="13" t="str">
        <f>IFERROR(__xludf.DUMMYFUNCTION("if(isblank(A596),,split(A596,""ー""))"),"27-119")</f>
        <v>27-119</v>
      </c>
      <c r="K596" s="13" t="str">
        <f>IFERROR(__xludf.DUMMYFUNCTION("if(isblank(B596),,split(B596,""ー""))"),"27-123")</f>
        <v>27-123</v>
      </c>
    </row>
    <row r="597">
      <c r="A597" s="15" t="s">
        <v>1228</v>
      </c>
      <c r="B597" s="16" t="s">
        <v>1231</v>
      </c>
      <c r="C597" s="9"/>
      <c r="D597" s="10" t="s">
        <v>165</v>
      </c>
      <c r="E597" s="10" t="s">
        <v>1218</v>
      </c>
      <c r="F597" s="11" t="s">
        <v>36</v>
      </c>
      <c r="G597" s="12" t="s">
        <v>1230</v>
      </c>
      <c r="I597" s="13" t="str">
        <f>IFERROR(__xludf.DUMMYFUNCTION("if(isblank(A597),,split(A597,""ー""))"),"27-119")</f>
        <v>27-119</v>
      </c>
      <c r="K597" s="13" t="str">
        <f>IFERROR(__xludf.DUMMYFUNCTION("if(isblank(B597),,split(B597,""ー""))"),"27-123")</f>
        <v>27-123</v>
      </c>
    </row>
    <row r="598">
      <c r="A598" s="15" t="s">
        <v>993</v>
      </c>
      <c r="B598" s="16" t="s">
        <v>353</v>
      </c>
      <c r="C598" s="9"/>
      <c r="D598" s="10" t="s">
        <v>36</v>
      </c>
      <c r="E598" s="10" t="s">
        <v>1218</v>
      </c>
      <c r="F598" s="11" t="s">
        <v>355</v>
      </c>
      <c r="G598" s="68" t="s">
        <v>1232</v>
      </c>
      <c r="I598" s="13" t="str">
        <f>IFERROR(__xludf.DUMMYFUNCTION("if(isblank(A598),,split(A598,""ー""))"),"27-12")</f>
        <v>27-12</v>
      </c>
      <c r="K598" s="13" t="str">
        <f>IFERROR(__xludf.DUMMYFUNCTION("if(isblank(B598),,split(B598,""ー""))"),"20-2")</f>
        <v>20-2</v>
      </c>
    </row>
    <row r="599">
      <c r="A599" s="94" t="s">
        <v>993</v>
      </c>
      <c r="B599" s="86" t="s">
        <v>1233</v>
      </c>
      <c r="C599" s="9"/>
      <c r="D599" s="6" t="s">
        <v>165</v>
      </c>
      <c r="E599" s="6" t="s">
        <v>1218</v>
      </c>
      <c r="F599" s="6" t="s">
        <v>36</v>
      </c>
      <c r="G599" s="64" t="s">
        <v>1234</v>
      </c>
      <c r="I599" s="13" t="str">
        <f>IFERROR(__xludf.DUMMYFUNCTION("if(isblank(A599),,split(A599,""ー""))"),"27-12")</f>
        <v>27-12</v>
      </c>
      <c r="K599" s="13" t="str">
        <f>IFERROR(__xludf.DUMMYFUNCTION("if(isblank(B599),,split(B599,""ー""))"),"27-111")</f>
        <v>27-111</v>
      </c>
    </row>
    <row r="600">
      <c r="A600" s="94" t="s">
        <v>993</v>
      </c>
      <c r="B600" s="86" t="s">
        <v>1235</v>
      </c>
      <c r="C600" s="9">
        <v>43876.0</v>
      </c>
      <c r="D600" s="6" t="s">
        <v>1236</v>
      </c>
      <c r="E600" s="6" t="s">
        <v>1218</v>
      </c>
      <c r="F600" s="6" t="s">
        <v>355</v>
      </c>
      <c r="G600" s="64" t="s">
        <v>1237</v>
      </c>
      <c r="I600" s="13" t="str">
        <f>IFERROR(__xludf.DUMMYFUNCTION("if(isblank(A600),,split(A600,""ー""))"),"27-12")</f>
        <v>27-12</v>
      </c>
      <c r="K600" s="13" t="str">
        <f>IFERROR(__xludf.DUMMYFUNCTION("if(isblank(B600),,split(B600,""ー""))"),"27-32")</f>
        <v>27-32</v>
      </c>
    </row>
    <row r="601">
      <c r="A601" s="94" t="s">
        <v>993</v>
      </c>
      <c r="B601" s="86" t="s">
        <v>1238</v>
      </c>
      <c r="C601" s="9">
        <v>43879.0</v>
      </c>
      <c r="D601" s="6" t="s">
        <v>1239</v>
      </c>
      <c r="E601" s="6" t="s">
        <v>1218</v>
      </c>
      <c r="F601" s="6" t="s">
        <v>1240</v>
      </c>
      <c r="G601" s="64" t="s">
        <v>1237</v>
      </c>
      <c r="I601" s="13" t="str">
        <f>IFERROR(__xludf.DUMMYFUNCTION("if(isblank(A601),,split(A601,""ー""))"),"27-12")</f>
        <v>27-12</v>
      </c>
      <c r="K601" s="13" t="str">
        <f>IFERROR(__xludf.DUMMYFUNCTION("if(isblank(B601),,split(B601,""ー""))"),"27-34")</f>
        <v>27-34</v>
      </c>
    </row>
    <row r="602">
      <c r="A602" s="94" t="s">
        <v>993</v>
      </c>
      <c r="B602" s="86" t="s">
        <v>1241</v>
      </c>
      <c r="C602" s="9">
        <v>43879.0</v>
      </c>
      <c r="D602" s="6" t="s">
        <v>1239</v>
      </c>
      <c r="E602" s="6" t="s">
        <v>1218</v>
      </c>
      <c r="F602" s="6" t="s">
        <v>1240</v>
      </c>
      <c r="G602" s="64" t="s">
        <v>1242</v>
      </c>
      <c r="I602" s="13" t="str">
        <f>IFERROR(__xludf.DUMMYFUNCTION("if(isblank(A602),,split(A602,""ー""))"),"27-12")</f>
        <v>27-12</v>
      </c>
      <c r="K602" s="13" t="str">
        <f>IFERROR(__xludf.DUMMYFUNCTION("if(isblank(B602),,split(B602,""ー""))"),"27-80")</f>
        <v>27-80</v>
      </c>
    </row>
    <row r="603">
      <c r="A603" s="15" t="s">
        <v>1229</v>
      </c>
      <c r="B603" s="16" t="s">
        <v>1231</v>
      </c>
      <c r="C603" s="9"/>
      <c r="D603" s="10" t="s">
        <v>165</v>
      </c>
      <c r="E603" s="10" t="s">
        <v>1218</v>
      </c>
      <c r="F603" s="11" t="s">
        <v>36</v>
      </c>
      <c r="G603" s="12" t="s">
        <v>1230</v>
      </c>
      <c r="I603" s="13" t="str">
        <f>IFERROR(__xludf.DUMMYFUNCTION("if(isblank(A603),,split(A603,""ー""))"),"27-122")</f>
        <v>27-122</v>
      </c>
      <c r="K603" s="13" t="str">
        <f>IFERROR(__xludf.DUMMYFUNCTION("if(isblank(B603),,split(B603,""ー""))"),"27-123")</f>
        <v>27-123</v>
      </c>
    </row>
    <row r="604">
      <c r="A604" s="15" t="s">
        <v>1229</v>
      </c>
      <c r="B604" s="16" t="s">
        <v>1231</v>
      </c>
      <c r="C604" s="9"/>
      <c r="D604" s="10" t="s">
        <v>165</v>
      </c>
      <c r="E604" s="10" t="s">
        <v>1218</v>
      </c>
      <c r="F604" s="11" t="s">
        <v>36</v>
      </c>
      <c r="G604" s="12" t="s">
        <v>1230</v>
      </c>
      <c r="I604" s="13" t="str">
        <f>IFERROR(__xludf.DUMMYFUNCTION("if(isblank(A604),,split(A604,""ー""))"),"27-122")</f>
        <v>27-122</v>
      </c>
      <c r="K604" s="13" t="str">
        <f>IFERROR(__xludf.DUMMYFUNCTION("if(isblank(B604),,split(B604,""ー""))"),"27-123")</f>
        <v>27-123</v>
      </c>
    </row>
    <row r="605">
      <c r="A605" s="15" t="s">
        <v>1243</v>
      </c>
      <c r="B605" s="16" t="s">
        <v>1244</v>
      </c>
      <c r="C605" s="9"/>
      <c r="D605" s="6" t="s">
        <v>30</v>
      </c>
      <c r="E605" s="10" t="s">
        <v>1218</v>
      </c>
      <c r="F605" s="6" t="s">
        <v>36</v>
      </c>
      <c r="G605" s="96" t="s">
        <v>1245</v>
      </c>
      <c r="I605" s="13" t="str">
        <f>IFERROR(__xludf.DUMMYFUNCTION("if(isblank(A605),,split(A605,""ー""))"),"27-126")</f>
        <v>27-126</v>
      </c>
      <c r="K605" s="13" t="str">
        <f>IFERROR(__xludf.DUMMYFUNCTION("if(isblank(B605),,split(B605,""ー""))"),"27-248")</f>
        <v>27-248</v>
      </c>
    </row>
    <row r="606">
      <c r="A606" s="15" t="s">
        <v>1243</v>
      </c>
      <c r="B606" s="16" t="s">
        <v>1246</v>
      </c>
      <c r="C606" s="9"/>
      <c r="D606" s="6" t="s">
        <v>1247</v>
      </c>
      <c r="E606" s="55" t="s">
        <v>1218</v>
      </c>
      <c r="F606" s="6" t="s">
        <v>36</v>
      </c>
      <c r="G606" s="96" t="s">
        <v>1245</v>
      </c>
      <c r="I606" s="13" t="str">
        <f>IFERROR(__xludf.DUMMYFUNCTION("if(isblank(A606),,split(A606,""ー""))"),"27-126")</f>
        <v>27-126</v>
      </c>
      <c r="K606" s="13" t="str">
        <f>IFERROR(__xludf.DUMMYFUNCTION("if(isblank(B606),,split(B606,""ー""))"),"27-276")</f>
        <v>27-276</v>
      </c>
    </row>
    <row r="607">
      <c r="A607" s="15" t="s">
        <v>1248</v>
      </c>
      <c r="B607" s="16" t="s">
        <v>1249</v>
      </c>
      <c r="C607" s="9"/>
      <c r="D607" s="6" t="s">
        <v>165</v>
      </c>
      <c r="E607" s="10" t="s">
        <v>1218</v>
      </c>
      <c r="F607" s="6" t="s">
        <v>36</v>
      </c>
      <c r="G607" s="96" t="s">
        <v>1250</v>
      </c>
      <c r="I607" s="13" t="str">
        <f>IFERROR(__xludf.DUMMYFUNCTION("if(isblank(A607),,split(A607,""ー""))"),"27-128")</f>
        <v>27-128</v>
      </c>
      <c r="K607" s="13" t="str">
        <f>IFERROR(__xludf.DUMMYFUNCTION("if(isblank(B607),,split(B607,""ー""))"),"27-129")</f>
        <v>27-129</v>
      </c>
    </row>
    <row r="608">
      <c r="A608" s="15" t="s">
        <v>1248</v>
      </c>
      <c r="B608" s="16" t="s">
        <v>1251</v>
      </c>
      <c r="C608" s="9"/>
      <c r="D608" s="6" t="s">
        <v>165</v>
      </c>
      <c r="E608" s="10" t="s">
        <v>1218</v>
      </c>
      <c r="F608" s="6" t="s">
        <v>36</v>
      </c>
      <c r="G608" s="96" t="s">
        <v>1250</v>
      </c>
      <c r="I608" s="13" t="str">
        <f>IFERROR(__xludf.DUMMYFUNCTION("if(isblank(A608),,split(A608,""ー""))"),"27-128")</f>
        <v>27-128</v>
      </c>
      <c r="K608" s="13" t="str">
        <f>IFERROR(__xludf.DUMMYFUNCTION("if(isblank(B608),,split(B608,""ー""))"),"27-130")</f>
        <v>27-130</v>
      </c>
    </row>
    <row r="609">
      <c r="A609" s="15" t="s">
        <v>1249</v>
      </c>
      <c r="B609" s="16" t="s">
        <v>1251</v>
      </c>
      <c r="C609" s="9"/>
      <c r="D609" s="6" t="s">
        <v>165</v>
      </c>
      <c r="E609" s="10" t="s">
        <v>1218</v>
      </c>
      <c r="F609" s="6" t="s">
        <v>36</v>
      </c>
      <c r="G609" s="96" t="s">
        <v>1250</v>
      </c>
      <c r="I609" s="13" t="str">
        <f>IFERROR(__xludf.DUMMYFUNCTION("if(isblank(A609),,split(A609,""ー""))"),"27-129")</f>
        <v>27-129</v>
      </c>
      <c r="K609" s="13" t="str">
        <f>IFERROR(__xludf.DUMMYFUNCTION("if(isblank(B609),,split(B609,""ー""))"),"27-130")</f>
        <v>27-130</v>
      </c>
    </row>
    <row r="610">
      <c r="A610" s="15" t="s">
        <v>1252</v>
      </c>
      <c r="B610" s="16" t="s">
        <v>353</v>
      </c>
      <c r="C610" s="9">
        <v>43884.0</v>
      </c>
      <c r="D610" s="10" t="s">
        <v>36</v>
      </c>
      <c r="E610" s="10" t="s">
        <v>1218</v>
      </c>
      <c r="F610" s="11" t="s">
        <v>355</v>
      </c>
      <c r="G610" s="68" t="s">
        <v>1232</v>
      </c>
      <c r="I610" s="13" t="str">
        <f>IFERROR(__xludf.DUMMYFUNCTION("if(isblank(A610),,split(A610,""ー""))"),"27-13")</f>
        <v>27-13</v>
      </c>
      <c r="K610" s="13" t="str">
        <f>IFERROR(__xludf.DUMMYFUNCTION("if(isblank(B610),,split(B610,""ー""))"),"20-2")</f>
        <v>20-2</v>
      </c>
    </row>
    <row r="611">
      <c r="A611" s="94" t="s">
        <v>1252</v>
      </c>
      <c r="B611" s="86" t="s">
        <v>1253</v>
      </c>
      <c r="C611" s="9"/>
      <c r="D611" s="6" t="s">
        <v>165</v>
      </c>
      <c r="E611" s="6" t="s">
        <v>1218</v>
      </c>
      <c r="F611" s="6" t="s">
        <v>36</v>
      </c>
      <c r="G611" s="64" t="s">
        <v>1254</v>
      </c>
      <c r="I611" s="13" t="str">
        <f>IFERROR(__xludf.DUMMYFUNCTION("if(isblank(A611),,split(A611,""ー""))"),"27-13")</f>
        <v>27-13</v>
      </c>
      <c r="K611" s="13" t="str">
        <f>IFERROR(__xludf.DUMMYFUNCTION("if(isblank(B611),,split(B611,""ー""))"),"27-30")</f>
        <v>27-30</v>
      </c>
    </row>
    <row r="612">
      <c r="A612" s="94" t="s">
        <v>1252</v>
      </c>
      <c r="B612" s="86" t="s">
        <v>1255</v>
      </c>
      <c r="C612" s="9"/>
      <c r="D612" s="6" t="s">
        <v>30</v>
      </c>
      <c r="E612" s="6" t="s">
        <v>1218</v>
      </c>
      <c r="F612" s="6" t="s">
        <v>36</v>
      </c>
      <c r="G612" s="64" t="s">
        <v>1256</v>
      </c>
      <c r="I612" s="13" t="str">
        <f>IFERROR(__xludf.DUMMYFUNCTION("if(isblank(A612),,split(A612,""ー""))"),"27-13")</f>
        <v>27-13</v>
      </c>
      <c r="K612" s="13" t="str">
        <f>IFERROR(__xludf.DUMMYFUNCTION("if(isblank(B612),,split(B612,""ー""))"),"27-72")</f>
        <v>27-72</v>
      </c>
    </row>
    <row r="613">
      <c r="A613" s="15" t="s">
        <v>1257</v>
      </c>
      <c r="B613" s="16" t="s">
        <v>1258</v>
      </c>
      <c r="C613" s="9"/>
      <c r="D613" s="6" t="s">
        <v>1259</v>
      </c>
      <c r="E613" s="10" t="s">
        <v>1218</v>
      </c>
      <c r="F613" s="6" t="s">
        <v>36</v>
      </c>
      <c r="G613" s="96" t="s">
        <v>1260</v>
      </c>
      <c r="I613" s="13" t="str">
        <f>IFERROR(__xludf.DUMMYFUNCTION("if(isblank(A613),,split(A613,""ー""))"),"27-133")</f>
        <v>27-133</v>
      </c>
      <c r="K613" s="13" t="str">
        <f>IFERROR(__xludf.DUMMYFUNCTION("if(isblank(B613),,split(B613,""ー""))"),"27-211")</f>
        <v>27-211</v>
      </c>
    </row>
    <row r="614">
      <c r="A614" s="15" t="s">
        <v>1261</v>
      </c>
      <c r="B614" s="16" t="s">
        <v>1262</v>
      </c>
      <c r="C614" s="9"/>
      <c r="D614" s="6" t="s">
        <v>541</v>
      </c>
      <c r="E614" s="55" t="s">
        <v>1218</v>
      </c>
      <c r="F614" s="6" t="s">
        <v>36</v>
      </c>
      <c r="G614" s="96" t="s">
        <v>1245</v>
      </c>
      <c r="I614" s="13" t="str">
        <f>IFERROR(__xludf.DUMMYFUNCTION("if(isblank(A614),,split(A614,""ー""))"),"27-135")</f>
        <v>27-135</v>
      </c>
      <c r="K614" s="13" t="str">
        <f>IFERROR(__xludf.DUMMYFUNCTION("if(isblank(B614),,split(B614,""ー""))"),"27-249")</f>
        <v>27-249</v>
      </c>
    </row>
    <row r="615">
      <c r="A615" s="15" t="s">
        <v>1261</v>
      </c>
      <c r="B615" s="16" t="s">
        <v>1263</v>
      </c>
      <c r="C615" s="9"/>
      <c r="D615" s="6" t="s">
        <v>541</v>
      </c>
      <c r="E615" s="55" t="s">
        <v>1218</v>
      </c>
      <c r="F615" s="6" t="s">
        <v>36</v>
      </c>
      <c r="G615" s="96" t="s">
        <v>1245</v>
      </c>
      <c r="I615" s="13" t="str">
        <f>IFERROR(__xludf.DUMMYFUNCTION("if(isblank(A615),,split(A615,""ー""))"),"27-135")</f>
        <v>27-135</v>
      </c>
      <c r="K615" s="13" t="str">
        <f>IFERROR(__xludf.DUMMYFUNCTION("if(isblank(B615),,split(B615,""ー""))"),"27-250")</f>
        <v>27-250</v>
      </c>
    </row>
    <row r="616">
      <c r="A616" s="15" t="s">
        <v>1261</v>
      </c>
      <c r="B616" s="16" t="s">
        <v>1264</v>
      </c>
      <c r="C616" s="9"/>
      <c r="D616" s="6" t="s">
        <v>541</v>
      </c>
      <c r="E616" s="55" t="s">
        <v>1218</v>
      </c>
      <c r="F616" s="6" t="s">
        <v>36</v>
      </c>
      <c r="G616" s="96" t="s">
        <v>1245</v>
      </c>
      <c r="I616" s="13" t="str">
        <f>IFERROR(__xludf.DUMMYFUNCTION("if(isblank(A616),,split(A616,""ー""))"),"27-135")</f>
        <v>27-135</v>
      </c>
      <c r="K616" s="13" t="str">
        <f>IFERROR(__xludf.DUMMYFUNCTION("if(isblank(B616),,split(B616,""ー""))"),"27-251")</f>
        <v>27-251</v>
      </c>
    </row>
    <row r="617">
      <c r="A617" s="15" t="s">
        <v>1261</v>
      </c>
      <c r="B617" s="16" t="s">
        <v>1265</v>
      </c>
      <c r="C617" s="9"/>
      <c r="D617" s="6" t="s">
        <v>541</v>
      </c>
      <c r="E617" s="55" t="s">
        <v>1218</v>
      </c>
      <c r="F617" s="6" t="s">
        <v>36</v>
      </c>
      <c r="G617" s="96" t="s">
        <v>1245</v>
      </c>
      <c r="I617" s="13" t="str">
        <f>IFERROR(__xludf.DUMMYFUNCTION("if(isblank(A617),,split(A617,""ー""))"),"27-135")</f>
        <v>27-135</v>
      </c>
      <c r="K617" s="13" t="str">
        <f>IFERROR(__xludf.DUMMYFUNCTION("if(isblank(B617),,split(B617,""ー""))"),"27-252")</f>
        <v>27-252</v>
      </c>
    </row>
    <row r="618">
      <c r="A618" s="15" t="s">
        <v>1261</v>
      </c>
      <c r="B618" s="16" t="s">
        <v>1266</v>
      </c>
      <c r="C618" s="9"/>
      <c r="D618" s="6" t="s">
        <v>541</v>
      </c>
      <c r="E618" s="55" t="s">
        <v>1218</v>
      </c>
      <c r="F618" s="6" t="s">
        <v>36</v>
      </c>
      <c r="G618" s="96" t="s">
        <v>1245</v>
      </c>
      <c r="I618" s="13" t="str">
        <f>IFERROR(__xludf.DUMMYFUNCTION("if(isblank(A618),,split(A618,""ー""))"),"27-135")</f>
        <v>27-135</v>
      </c>
      <c r="K618" s="13" t="str">
        <f>IFERROR(__xludf.DUMMYFUNCTION("if(isblank(B618),,split(B618,""ー""))"),"27-253")</f>
        <v>27-253</v>
      </c>
    </row>
    <row r="619">
      <c r="A619" s="15" t="s">
        <v>1261</v>
      </c>
      <c r="B619" s="16" t="s">
        <v>1267</v>
      </c>
      <c r="C619" s="9"/>
      <c r="D619" s="6" t="s">
        <v>541</v>
      </c>
      <c r="E619" s="55" t="s">
        <v>1218</v>
      </c>
      <c r="F619" s="6" t="s">
        <v>36</v>
      </c>
      <c r="G619" s="96" t="s">
        <v>1245</v>
      </c>
      <c r="I619" s="13" t="str">
        <f>IFERROR(__xludf.DUMMYFUNCTION("if(isblank(A619),,split(A619,""ー""))"),"27-135")</f>
        <v>27-135</v>
      </c>
      <c r="K619" s="13" t="str">
        <f>IFERROR(__xludf.DUMMYFUNCTION("if(isblank(B619),,split(B619,""ー""))"),"27-254")</f>
        <v>27-254</v>
      </c>
    </row>
    <row r="620">
      <c r="A620" s="15" t="s">
        <v>1261</v>
      </c>
      <c r="B620" s="16" t="s">
        <v>1268</v>
      </c>
      <c r="C620" s="9"/>
      <c r="D620" s="6" t="s">
        <v>541</v>
      </c>
      <c r="E620" s="55" t="s">
        <v>1218</v>
      </c>
      <c r="F620" s="6" t="s">
        <v>36</v>
      </c>
      <c r="G620" s="96" t="s">
        <v>1245</v>
      </c>
      <c r="I620" s="13" t="str">
        <f>IFERROR(__xludf.DUMMYFUNCTION("if(isblank(A620),,split(A620,""ー""))"),"27-135")</f>
        <v>27-135</v>
      </c>
      <c r="K620" s="13" t="str">
        <f>IFERROR(__xludf.DUMMYFUNCTION("if(isblank(B620),,split(B620,""ー""))"),"27-255")</f>
        <v>27-255</v>
      </c>
    </row>
    <row r="621">
      <c r="A621" s="15" t="s">
        <v>1261</v>
      </c>
      <c r="B621" s="16" t="s">
        <v>1269</v>
      </c>
      <c r="C621" s="9"/>
      <c r="D621" s="6" t="s">
        <v>541</v>
      </c>
      <c r="E621" s="55" t="s">
        <v>1218</v>
      </c>
      <c r="F621" s="6" t="s">
        <v>36</v>
      </c>
      <c r="G621" s="96" t="s">
        <v>1245</v>
      </c>
      <c r="I621" s="13" t="str">
        <f>IFERROR(__xludf.DUMMYFUNCTION("if(isblank(A621),,split(A621,""ー""))"),"27-135")</f>
        <v>27-135</v>
      </c>
      <c r="K621" s="13" t="str">
        <f>IFERROR(__xludf.DUMMYFUNCTION("if(isblank(B621),,split(B621,""ー""))"),"27-256")</f>
        <v>27-256</v>
      </c>
    </row>
    <row r="622">
      <c r="A622" s="15" t="s">
        <v>1261</v>
      </c>
      <c r="B622" s="16" t="s">
        <v>1270</v>
      </c>
      <c r="C622" s="9"/>
      <c r="D622" s="6" t="s">
        <v>541</v>
      </c>
      <c r="E622" s="55" t="s">
        <v>1218</v>
      </c>
      <c r="F622" s="6" t="s">
        <v>36</v>
      </c>
      <c r="G622" s="96" t="s">
        <v>1245</v>
      </c>
      <c r="I622" s="13" t="str">
        <f>IFERROR(__xludf.DUMMYFUNCTION("if(isblank(A622),,split(A622,""ー""))"),"27-135")</f>
        <v>27-135</v>
      </c>
      <c r="K622" s="13" t="str">
        <f>IFERROR(__xludf.DUMMYFUNCTION("if(isblank(B622),,split(B622,""ー""))"),"27-257")</f>
        <v>27-257</v>
      </c>
    </row>
    <row r="623">
      <c r="A623" s="15" t="s">
        <v>1261</v>
      </c>
      <c r="B623" s="16" t="s">
        <v>1271</v>
      </c>
      <c r="C623" s="9"/>
      <c r="D623" s="6" t="s">
        <v>541</v>
      </c>
      <c r="E623" s="55" t="s">
        <v>1218</v>
      </c>
      <c r="F623" s="6" t="s">
        <v>36</v>
      </c>
      <c r="G623" s="96" t="s">
        <v>1245</v>
      </c>
      <c r="I623" s="13" t="str">
        <f>IFERROR(__xludf.DUMMYFUNCTION("if(isblank(A623),,split(A623,""ー""))"),"27-135")</f>
        <v>27-135</v>
      </c>
      <c r="K623" s="13" t="str">
        <f>IFERROR(__xludf.DUMMYFUNCTION("if(isblank(B623),,split(B623,""ー""))"),"27-258")</f>
        <v>27-258</v>
      </c>
    </row>
    <row r="624">
      <c r="A624" s="15" t="s">
        <v>1261</v>
      </c>
      <c r="B624" s="16" t="s">
        <v>1272</v>
      </c>
      <c r="C624" s="9"/>
      <c r="D624" s="6" t="s">
        <v>541</v>
      </c>
      <c r="E624" s="55" t="s">
        <v>1218</v>
      </c>
      <c r="F624" s="6" t="s">
        <v>36</v>
      </c>
      <c r="G624" s="96" t="s">
        <v>1245</v>
      </c>
      <c r="I624" s="13" t="str">
        <f>IFERROR(__xludf.DUMMYFUNCTION("if(isblank(A624),,split(A624,""ー""))"),"27-135")</f>
        <v>27-135</v>
      </c>
      <c r="K624" s="13" t="str">
        <f>IFERROR(__xludf.DUMMYFUNCTION("if(isblank(B624),,split(B624,""ー""))"),"27-259")</f>
        <v>27-259</v>
      </c>
    </row>
    <row r="625">
      <c r="A625" s="15" t="s">
        <v>1261</v>
      </c>
      <c r="B625" s="16" t="s">
        <v>1273</v>
      </c>
      <c r="C625" s="9"/>
      <c r="D625" s="6" t="s">
        <v>541</v>
      </c>
      <c r="E625" s="55" t="s">
        <v>1218</v>
      </c>
      <c r="F625" s="6" t="s">
        <v>36</v>
      </c>
      <c r="G625" s="96" t="s">
        <v>1245</v>
      </c>
      <c r="I625" s="13" t="str">
        <f>IFERROR(__xludf.DUMMYFUNCTION("if(isblank(A625),,split(A625,""ー""))"),"27-135")</f>
        <v>27-135</v>
      </c>
      <c r="K625" s="13" t="str">
        <f>IFERROR(__xludf.DUMMYFUNCTION("if(isblank(B625),,split(B625,""ー""))"),"27-260")</f>
        <v>27-260</v>
      </c>
    </row>
    <row r="626">
      <c r="A626" s="15" t="s">
        <v>1261</v>
      </c>
      <c r="B626" s="16" t="s">
        <v>1274</v>
      </c>
      <c r="C626" s="9"/>
      <c r="D626" s="6" t="s">
        <v>541</v>
      </c>
      <c r="E626" s="55" t="s">
        <v>1218</v>
      </c>
      <c r="F626" s="6" t="s">
        <v>36</v>
      </c>
      <c r="G626" s="96" t="s">
        <v>1245</v>
      </c>
      <c r="I626" s="13" t="str">
        <f>IFERROR(__xludf.DUMMYFUNCTION("if(isblank(A626),,split(A626,""ー""))"),"27-135")</f>
        <v>27-135</v>
      </c>
      <c r="K626" s="13" t="str">
        <f>IFERROR(__xludf.DUMMYFUNCTION("if(isblank(B626),,split(B626,""ー""))"),"27-261")</f>
        <v>27-261</v>
      </c>
    </row>
    <row r="627">
      <c r="A627" s="15" t="s">
        <v>1261</v>
      </c>
      <c r="B627" s="16" t="s">
        <v>1275</v>
      </c>
      <c r="C627" s="9"/>
      <c r="D627" s="6" t="s">
        <v>541</v>
      </c>
      <c r="E627" s="55" t="s">
        <v>1218</v>
      </c>
      <c r="F627" s="6" t="s">
        <v>36</v>
      </c>
      <c r="G627" s="96" t="s">
        <v>1245</v>
      </c>
      <c r="I627" s="13" t="str">
        <f>IFERROR(__xludf.DUMMYFUNCTION("if(isblank(A627),,split(A627,""ー""))"),"27-135")</f>
        <v>27-135</v>
      </c>
      <c r="K627" s="13" t="str">
        <f>IFERROR(__xludf.DUMMYFUNCTION("if(isblank(B627),,split(B627,""ー""))"),"27-262")</f>
        <v>27-262</v>
      </c>
    </row>
    <row r="628">
      <c r="A628" s="15" t="s">
        <v>1261</v>
      </c>
      <c r="B628" s="16" t="s">
        <v>1276</v>
      </c>
      <c r="C628" s="9"/>
      <c r="D628" s="6" t="s">
        <v>541</v>
      </c>
      <c r="E628" s="55" t="s">
        <v>1218</v>
      </c>
      <c r="F628" s="6" t="s">
        <v>36</v>
      </c>
      <c r="G628" s="96" t="s">
        <v>1245</v>
      </c>
      <c r="I628" s="13" t="str">
        <f>IFERROR(__xludf.DUMMYFUNCTION("if(isblank(A628),,split(A628,""ー""))"),"27-135")</f>
        <v>27-135</v>
      </c>
      <c r="K628" s="13" t="str">
        <f>IFERROR(__xludf.DUMMYFUNCTION("if(isblank(B628),,split(B628,""ー""))"),"27-263")</f>
        <v>27-263</v>
      </c>
    </row>
    <row r="629">
      <c r="A629" s="15" t="s">
        <v>1261</v>
      </c>
      <c r="B629" s="16" t="s">
        <v>1277</v>
      </c>
      <c r="C629" s="9"/>
      <c r="D629" s="6" t="s">
        <v>541</v>
      </c>
      <c r="E629" s="55" t="s">
        <v>1218</v>
      </c>
      <c r="F629" s="6" t="s">
        <v>36</v>
      </c>
      <c r="G629" s="96" t="s">
        <v>1245</v>
      </c>
      <c r="I629" s="13" t="str">
        <f>IFERROR(__xludf.DUMMYFUNCTION("if(isblank(A629),,split(A629,""ー""))"),"27-135")</f>
        <v>27-135</v>
      </c>
      <c r="K629" s="13" t="str">
        <f>IFERROR(__xludf.DUMMYFUNCTION("if(isblank(B629),,split(B629,""ー""))"),"27-264")</f>
        <v>27-264</v>
      </c>
    </row>
    <row r="630">
      <c r="A630" s="15" t="s">
        <v>1261</v>
      </c>
      <c r="B630" s="16" t="s">
        <v>1278</v>
      </c>
      <c r="C630" s="9"/>
      <c r="D630" s="6" t="s">
        <v>541</v>
      </c>
      <c r="E630" s="55" t="s">
        <v>1218</v>
      </c>
      <c r="F630" s="6" t="s">
        <v>36</v>
      </c>
      <c r="G630" s="96" t="s">
        <v>1245</v>
      </c>
      <c r="I630" s="13" t="str">
        <f>IFERROR(__xludf.DUMMYFUNCTION("if(isblank(A630),,split(A630,""ー""))"),"27-135")</f>
        <v>27-135</v>
      </c>
      <c r="K630" s="13" t="str">
        <f>IFERROR(__xludf.DUMMYFUNCTION("if(isblank(B630),,split(B630,""ー""))"),"27-265")</f>
        <v>27-265</v>
      </c>
    </row>
    <row r="631">
      <c r="A631" s="15" t="s">
        <v>1279</v>
      </c>
      <c r="B631" s="16" t="s">
        <v>1280</v>
      </c>
      <c r="C631" s="9"/>
      <c r="D631" s="10" t="s">
        <v>165</v>
      </c>
      <c r="E631" s="10" t="s">
        <v>1218</v>
      </c>
      <c r="F631" s="6" t="s">
        <v>36</v>
      </c>
      <c r="G631" s="12" t="s">
        <v>1281</v>
      </c>
      <c r="I631" s="13" t="str">
        <f>IFERROR(__xludf.DUMMYFUNCTION("if(isblank(A631),,split(A631,""ー""))"),"27-139")</f>
        <v>27-139</v>
      </c>
      <c r="K631" s="13" t="str">
        <f>IFERROR(__xludf.DUMMYFUNCTION("if(isblank(B631),,split(B631,""ー""))"),"27-197")</f>
        <v>27-197</v>
      </c>
    </row>
    <row r="632">
      <c r="A632" s="15" t="s">
        <v>1282</v>
      </c>
      <c r="B632" s="16" t="s">
        <v>1283</v>
      </c>
      <c r="C632" s="9"/>
      <c r="D632" s="10" t="s">
        <v>30</v>
      </c>
      <c r="E632" s="6" t="s">
        <v>1218</v>
      </c>
      <c r="F632" s="6" t="s">
        <v>36</v>
      </c>
      <c r="G632" s="12" t="s">
        <v>1281</v>
      </c>
      <c r="I632" s="13" t="str">
        <f>IFERROR(__xludf.DUMMYFUNCTION("if(isblank(A632),,split(A632,""ー""))"),"27-143")</f>
        <v>27-143</v>
      </c>
      <c r="K632" s="13" t="str">
        <f>IFERROR(__xludf.DUMMYFUNCTION("if(isblank(B632),,split(B632,""ー""))"),"27-206")</f>
        <v>27-206</v>
      </c>
    </row>
    <row r="633">
      <c r="A633" s="15" t="s">
        <v>1282</v>
      </c>
      <c r="B633" s="16" t="s">
        <v>1283</v>
      </c>
      <c r="C633" s="9"/>
      <c r="D633" s="6" t="s">
        <v>30</v>
      </c>
      <c r="E633" s="10" t="s">
        <v>1218</v>
      </c>
      <c r="F633" s="6" t="s">
        <v>36</v>
      </c>
      <c r="G633" s="96" t="s">
        <v>1281</v>
      </c>
      <c r="I633" s="13" t="str">
        <f>IFERROR(__xludf.DUMMYFUNCTION("if(isblank(A633),,split(A633,""ー""))"),"27-143")</f>
        <v>27-143</v>
      </c>
      <c r="K633" s="13" t="str">
        <f>IFERROR(__xludf.DUMMYFUNCTION("if(isblank(B633),,split(B633,""ー""))"),"27-206")</f>
        <v>27-206</v>
      </c>
    </row>
    <row r="634">
      <c r="A634" s="15" t="s">
        <v>1282</v>
      </c>
      <c r="B634" s="16" t="s">
        <v>1284</v>
      </c>
      <c r="C634" s="9"/>
      <c r="D634" s="6" t="s">
        <v>30</v>
      </c>
      <c r="E634" s="10" t="s">
        <v>1218</v>
      </c>
      <c r="F634" s="6" t="s">
        <v>36</v>
      </c>
      <c r="G634" s="96" t="s">
        <v>1285</v>
      </c>
      <c r="I634" s="13" t="str">
        <f>IFERROR(__xludf.DUMMYFUNCTION("if(isblank(A634),,split(A634,""ー""))"),"27-143")</f>
        <v>27-143</v>
      </c>
      <c r="K634" s="13" t="str">
        <f>IFERROR(__xludf.DUMMYFUNCTION("if(isblank(B634),,split(B634,""ー""))"),"27-225")</f>
        <v>27-225</v>
      </c>
    </row>
    <row r="635">
      <c r="A635" s="15" t="s">
        <v>1282</v>
      </c>
      <c r="B635" s="16" t="s">
        <v>1286</v>
      </c>
      <c r="C635" s="9"/>
      <c r="D635" s="6" t="s">
        <v>30</v>
      </c>
      <c r="E635" s="55" t="s">
        <v>1218</v>
      </c>
      <c r="F635" s="6" t="s">
        <v>36</v>
      </c>
      <c r="G635" s="96" t="s">
        <v>1287</v>
      </c>
      <c r="I635" s="13" t="str">
        <f>IFERROR(__xludf.DUMMYFUNCTION("if(isblank(A635),,split(A635,""ー""))"),"27-143")</f>
        <v>27-143</v>
      </c>
      <c r="K635" s="13" t="str">
        <f>IFERROR(__xludf.DUMMYFUNCTION("if(isblank(B635),,split(B635,""ー""))"),"27-279")</f>
        <v>27-279</v>
      </c>
    </row>
    <row r="636">
      <c r="A636" s="15" t="s">
        <v>962</v>
      </c>
      <c r="B636" s="16" t="s">
        <v>353</v>
      </c>
      <c r="C636" s="9"/>
      <c r="D636" s="10" t="s">
        <v>36</v>
      </c>
      <c r="E636" s="10" t="s">
        <v>1218</v>
      </c>
      <c r="F636" s="11" t="s">
        <v>355</v>
      </c>
      <c r="G636" s="68" t="s">
        <v>1232</v>
      </c>
      <c r="I636" s="13" t="str">
        <f>IFERROR(__xludf.DUMMYFUNCTION("if(isblank(A636),,split(A636,""ー""))"),"27-15")</f>
        <v>27-15</v>
      </c>
      <c r="K636" s="13" t="str">
        <f>IFERROR(__xludf.DUMMYFUNCTION("if(isblank(B636),,split(B636,""ー""))"),"20-2")</f>
        <v>20-2</v>
      </c>
    </row>
    <row r="637">
      <c r="A637" s="94" t="s">
        <v>962</v>
      </c>
      <c r="B637" s="86" t="s">
        <v>1288</v>
      </c>
      <c r="C637" s="9"/>
      <c r="D637" s="6" t="s">
        <v>30</v>
      </c>
      <c r="E637" s="6" t="s">
        <v>1218</v>
      </c>
      <c r="F637" s="6" t="s">
        <v>36</v>
      </c>
      <c r="G637" s="64" t="s">
        <v>1254</v>
      </c>
      <c r="I637" s="13" t="str">
        <f>IFERROR(__xludf.DUMMYFUNCTION("if(isblank(A637),,split(A637,""ー""))"),"27-15")</f>
        <v>27-15</v>
      </c>
      <c r="K637" s="13" t="str">
        <f>IFERROR(__xludf.DUMMYFUNCTION("if(isblank(B637),,split(B637,""ー""))"),"27-24")</f>
        <v>27-24</v>
      </c>
    </row>
    <row r="638">
      <c r="A638" s="94" t="s">
        <v>962</v>
      </c>
      <c r="B638" s="86" t="s">
        <v>1289</v>
      </c>
      <c r="C638" s="9">
        <v>43882.0</v>
      </c>
      <c r="D638" s="6" t="s">
        <v>963</v>
      </c>
      <c r="E638" s="6" t="s">
        <v>1218</v>
      </c>
      <c r="F638" s="6" t="s">
        <v>355</v>
      </c>
      <c r="G638" s="64" t="s">
        <v>1256</v>
      </c>
      <c r="I638" s="13" t="str">
        <f>IFERROR(__xludf.DUMMYFUNCTION("if(isblank(A638),,split(A638,""ー""))"),"27-15")</f>
        <v>27-15</v>
      </c>
      <c r="K638" s="13" t="str">
        <f>IFERROR(__xludf.DUMMYFUNCTION("if(isblank(B638),,split(B638,""ー""))"),"27-67")</f>
        <v>27-67</v>
      </c>
    </row>
    <row r="639">
      <c r="A639" s="94" t="s">
        <v>962</v>
      </c>
      <c r="B639" s="86" t="s">
        <v>1290</v>
      </c>
      <c r="C639" s="9">
        <v>43882.0</v>
      </c>
      <c r="D639" s="6" t="s">
        <v>963</v>
      </c>
      <c r="E639" s="6" t="s">
        <v>1218</v>
      </c>
      <c r="F639" s="6" t="s">
        <v>355</v>
      </c>
      <c r="G639" s="64" t="s">
        <v>1256</v>
      </c>
      <c r="I639" s="13" t="str">
        <f>IFERROR(__xludf.DUMMYFUNCTION("if(isblank(A639),,split(A639,""ー""))"),"27-15")</f>
        <v>27-15</v>
      </c>
      <c r="K639" s="13" t="str">
        <f>IFERROR(__xludf.DUMMYFUNCTION("if(isblank(B639),,split(B639,""ー""))"),"27-73")</f>
        <v>27-73</v>
      </c>
    </row>
    <row r="640">
      <c r="A640" s="15" t="s">
        <v>1291</v>
      </c>
      <c r="B640" s="16" t="s">
        <v>1262</v>
      </c>
      <c r="C640" s="9"/>
      <c r="D640" s="6" t="s">
        <v>541</v>
      </c>
      <c r="E640" s="10" t="s">
        <v>1218</v>
      </c>
      <c r="F640" s="6" t="s">
        <v>36</v>
      </c>
      <c r="G640" s="96" t="s">
        <v>1245</v>
      </c>
      <c r="I640" s="13" t="str">
        <f>IFERROR(__xludf.DUMMYFUNCTION("if(isblank(A640),,split(A640,""ー""))"),"27-150")</f>
        <v>27-150</v>
      </c>
      <c r="K640" s="13" t="str">
        <f>IFERROR(__xludf.DUMMYFUNCTION("if(isblank(B640),,split(B640,""ー""))"),"27-249")</f>
        <v>27-249</v>
      </c>
    </row>
    <row r="641">
      <c r="A641" s="15" t="s">
        <v>1291</v>
      </c>
      <c r="B641" s="16" t="s">
        <v>1263</v>
      </c>
      <c r="C641" s="9"/>
      <c r="D641" s="6" t="s">
        <v>541</v>
      </c>
      <c r="E641" s="10" t="s">
        <v>1218</v>
      </c>
      <c r="F641" s="6" t="s">
        <v>36</v>
      </c>
      <c r="G641" s="96" t="s">
        <v>1245</v>
      </c>
      <c r="I641" s="13" t="str">
        <f>IFERROR(__xludf.DUMMYFUNCTION("if(isblank(A641),,split(A641,""ー""))"),"27-150")</f>
        <v>27-150</v>
      </c>
      <c r="K641" s="13" t="str">
        <f>IFERROR(__xludf.DUMMYFUNCTION("if(isblank(B641),,split(B641,""ー""))"),"27-250")</f>
        <v>27-250</v>
      </c>
    </row>
    <row r="642">
      <c r="A642" s="15" t="s">
        <v>1291</v>
      </c>
      <c r="B642" s="16" t="s">
        <v>1264</v>
      </c>
      <c r="C642" s="9"/>
      <c r="D642" s="6" t="s">
        <v>541</v>
      </c>
      <c r="E642" s="10" t="s">
        <v>1218</v>
      </c>
      <c r="F642" s="6" t="s">
        <v>36</v>
      </c>
      <c r="G642" s="96" t="s">
        <v>1245</v>
      </c>
      <c r="I642" s="13" t="str">
        <f>IFERROR(__xludf.DUMMYFUNCTION("if(isblank(A642),,split(A642,""ー""))"),"27-150")</f>
        <v>27-150</v>
      </c>
      <c r="K642" s="13" t="str">
        <f>IFERROR(__xludf.DUMMYFUNCTION("if(isblank(B642),,split(B642,""ー""))"),"27-251")</f>
        <v>27-251</v>
      </c>
    </row>
    <row r="643">
      <c r="A643" s="15" t="s">
        <v>1291</v>
      </c>
      <c r="B643" s="16" t="s">
        <v>1265</v>
      </c>
      <c r="C643" s="9"/>
      <c r="D643" s="6" t="s">
        <v>541</v>
      </c>
      <c r="E643" s="10" t="s">
        <v>1218</v>
      </c>
      <c r="F643" s="6" t="s">
        <v>36</v>
      </c>
      <c r="G643" s="96" t="s">
        <v>1245</v>
      </c>
      <c r="I643" s="13" t="str">
        <f>IFERROR(__xludf.DUMMYFUNCTION("if(isblank(A643),,split(A643,""ー""))"),"27-150")</f>
        <v>27-150</v>
      </c>
      <c r="K643" s="13" t="str">
        <f>IFERROR(__xludf.DUMMYFUNCTION("if(isblank(B643),,split(B643,""ー""))"),"27-252")</f>
        <v>27-252</v>
      </c>
    </row>
    <row r="644">
      <c r="A644" s="15" t="s">
        <v>1291</v>
      </c>
      <c r="B644" s="16" t="s">
        <v>1266</v>
      </c>
      <c r="C644" s="9"/>
      <c r="D644" s="6" t="s">
        <v>541</v>
      </c>
      <c r="E644" s="10" t="s">
        <v>1218</v>
      </c>
      <c r="F644" s="6" t="s">
        <v>36</v>
      </c>
      <c r="G644" s="96" t="s">
        <v>1245</v>
      </c>
      <c r="I644" s="13" t="str">
        <f>IFERROR(__xludf.DUMMYFUNCTION("if(isblank(A644),,split(A644,""ー""))"),"27-150")</f>
        <v>27-150</v>
      </c>
      <c r="K644" s="13" t="str">
        <f>IFERROR(__xludf.DUMMYFUNCTION("if(isblank(B644),,split(B644,""ー""))"),"27-253")</f>
        <v>27-253</v>
      </c>
    </row>
    <row r="645">
      <c r="A645" s="15" t="s">
        <v>1291</v>
      </c>
      <c r="B645" s="16" t="s">
        <v>1267</v>
      </c>
      <c r="C645" s="9"/>
      <c r="D645" s="6" t="s">
        <v>541</v>
      </c>
      <c r="E645" s="10" t="s">
        <v>1218</v>
      </c>
      <c r="F645" s="6" t="s">
        <v>36</v>
      </c>
      <c r="G645" s="96" t="s">
        <v>1245</v>
      </c>
      <c r="I645" s="13" t="str">
        <f>IFERROR(__xludf.DUMMYFUNCTION("if(isblank(A645),,split(A645,""ー""))"),"27-150")</f>
        <v>27-150</v>
      </c>
      <c r="K645" s="13" t="str">
        <f>IFERROR(__xludf.DUMMYFUNCTION("if(isblank(B645),,split(B645,""ー""))"),"27-254")</f>
        <v>27-254</v>
      </c>
    </row>
    <row r="646">
      <c r="A646" s="15" t="s">
        <v>1291</v>
      </c>
      <c r="B646" s="16" t="s">
        <v>1268</v>
      </c>
      <c r="C646" s="9"/>
      <c r="D646" s="6" t="s">
        <v>541</v>
      </c>
      <c r="E646" s="10" t="s">
        <v>1218</v>
      </c>
      <c r="F646" s="6" t="s">
        <v>36</v>
      </c>
      <c r="G646" s="96" t="s">
        <v>1245</v>
      </c>
      <c r="I646" s="13" t="str">
        <f>IFERROR(__xludf.DUMMYFUNCTION("if(isblank(A646),,split(A646,""ー""))"),"27-150")</f>
        <v>27-150</v>
      </c>
      <c r="K646" s="13" t="str">
        <f>IFERROR(__xludf.DUMMYFUNCTION("if(isblank(B646),,split(B646,""ー""))"),"27-255")</f>
        <v>27-255</v>
      </c>
    </row>
    <row r="647">
      <c r="A647" s="15" t="s">
        <v>1291</v>
      </c>
      <c r="B647" s="16" t="s">
        <v>1269</v>
      </c>
      <c r="C647" s="9"/>
      <c r="D647" s="6" t="s">
        <v>541</v>
      </c>
      <c r="E647" s="10" t="s">
        <v>1218</v>
      </c>
      <c r="F647" s="6" t="s">
        <v>36</v>
      </c>
      <c r="G647" s="96" t="s">
        <v>1245</v>
      </c>
      <c r="I647" s="13" t="str">
        <f>IFERROR(__xludf.DUMMYFUNCTION("if(isblank(A647),,split(A647,""ー""))"),"27-150")</f>
        <v>27-150</v>
      </c>
      <c r="K647" s="13" t="str">
        <f>IFERROR(__xludf.DUMMYFUNCTION("if(isblank(B647),,split(B647,""ー""))"),"27-256")</f>
        <v>27-256</v>
      </c>
    </row>
    <row r="648">
      <c r="A648" s="15" t="s">
        <v>1291</v>
      </c>
      <c r="B648" s="16" t="s">
        <v>1270</v>
      </c>
      <c r="C648" s="9"/>
      <c r="D648" s="6" t="s">
        <v>541</v>
      </c>
      <c r="E648" s="10" t="s">
        <v>1218</v>
      </c>
      <c r="F648" s="6" t="s">
        <v>36</v>
      </c>
      <c r="G648" s="96" t="s">
        <v>1245</v>
      </c>
      <c r="I648" s="13" t="str">
        <f>IFERROR(__xludf.DUMMYFUNCTION("if(isblank(A648),,split(A648,""ー""))"),"27-150")</f>
        <v>27-150</v>
      </c>
      <c r="K648" s="13" t="str">
        <f>IFERROR(__xludf.DUMMYFUNCTION("if(isblank(B648),,split(B648,""ー""))"),"27-257")</f>
        <v>27-257</v>
      </c>
    </row>
    <row r="649">
      <c r="A649" s="15" t="s">
        <v>1291</v>
      </c>
      <c r="B649" s="16" t="s">
        <v>1271</v>
      </c>
      <c r="C649" s="9"/>
      <c r="D649" s="6" t="s">
        <v>541</v>
      </c>
      <c r="E649" s="10" t="s">
        <v>1218</v>
      </c>
      <c r="F649" s="6" t="s">
        <v>36</v>
      </c>
      <c r="G649" s="96" t="s">
        <v>1245</v>
      </c>
      <c r="I649" s="13" t="str">
        <f>IFERROR(__xludf.DUMMYFUNCTION("if(isblank(A649),,split(A649,""ー""))"),"27-150")</f>
        <v>27-150</v>
      </c>
      <c r="K649" s="13" t="str">
        <f>IFERROR(__xludf.DUMMYFUNCTION("if(isblank(B649),,split(B649,""ー""))"),"27-258")</f>
        <v>27-258</v>
      </c>
    </row>
    <row r="650">
      <c r="A650" s="15" t="s">
        <v>1291</v>
      </c>
      <c r="B650" s="16" t="s">
        <v>1272</v>
      </c>
      <c r="C650" s="9"/>
      <c r="D650" s="6" t="s">
        <v>541</v>
      </c>
      <c r="E650" s="10" t="s">
        <v>1218</v>
      </c>
      <c r="F650" s="6" t="s">
        <v>36</v>
      </c>
      <c r="G650" s="96" t="s">
        <v>1245</v>
      </c>
      <c r="I650" s="13" t="str">
        <f>IFERROR(__xludf.DUMMYFUNCTION("if(isblank(A650),,split(A650,""ー""))"),"27-150")</f>
        <v>27-150</v>
      </c>
      <c r="K650" s="13" t="str">
        <f>IFERROR(__xludf.DUMMYFUNCTION("if(isblank(B650),,split(B650,""ー""))"),"27-259")</f>
        <v>27-259</v>
      </c>
    </row>
    <row r="651">
      <c r="A651" s="15" t="s">
        <v>1291</v>
      </c>
      <c r="B651" s="16" t="s">
        <v>1273</v>
      </c>
      <c r="C651" s="9"/>
      <c r="D651" s="6" t="s">
        <v>541</v>
      </c>
      <c r="E651" s="10" t="s">
        <v>1218</v>
      </c>
      <c r="F651" s="6" t="s">
        <v>36</v>
      </c>
      <c r="G651" s="96" t="s">
        <v>1245</v>
      </c>
      <c r="I651" s="13" t="str">
        <f>IFERROR(__xludf.DUMMYFUNCTION("if(isblank(A651),,split(A651,""ー""))"),"27-150")</f>
        <v>27-150</v>
      </c>
      <c r="K651" s="13" t="str">
        <f>IFERROR(__xludf.DUMMYFUNCTION("if(isblank(B651),,split(B651,""ー""))"),"27-260")</f>
        <v>27-260</v>
      </c>
    </row>
    <row r="652">
      <c r="A652" s="15" t="s">
        <v>1291</v>
      </c>
      <c r="B652" s="16" t="s">
        <v>1274</v>
      </c>
      <c r="C652" s="9"/>
      <c r="D652" s="6" t="s">
        <v>541</v>
      </c>
      <c r="E652" s="10" t="s">
        <v>1218</v>
      </c>
      <c r="F652" s="6" t="s">
        <v>36</v>
      </c>
      <c r="G652" s="96" t="s">
        <v>1245</v>
      </c>
      <c r="I652" s="13" t="str">
        <f>IFERROR(__xludf.DUMMYFUNCTION("if(isblank(A652),,split(A652,""ー""))"),"27-150")</f>
        <v>27-150</v>
      </c>
      <c r="K652" s="13" t="str">
        <f>IFERROR(__xludf.DUMMYFUNCTION("if(isblank(B652),,split(B652,""ー""))"),"27-261")</f>
        <v>27-261</v>
      </c>
    </row>
    <row r="653">
      <c r="A653" s="15" t="s">
        <v>1291</v>
      </c>
      <c r="B653" s="16" t="s">
        <v>1275</v>
      </c>
      <c r="C653" s="9"/>
      <c r="D653" s="6" t="s">
        <v>541</v>
      </c>
      <c r="E653" s="10" t="s">
        <v>1218</v>
      </c>
      <c r="F653" s="6" t="s">
        <v>36</v>
      </c>
      <c r="G653" s="96" t="s">
        <v>1245</v>
      </c>
      <c r="I653" s="13" t="str">
        <f>IFERROR(__xludf.DUMMYFUNCTION("if(isblank(A653),,split(A653,""ー""))"),"27-150")</f>
        <v>27-150</v>
      </c>
      <c r="K653" s="13" t="str">
        <f>IFERROR(__xludf.DUMMYFUNCTION("if(isblank(B653),,split(B653,""ー""))"),"27-262")</f>
        <v>27-262</v>
      </c>
    </row>
    <row r="654">
      <c r="A654" s="15" t="s">
        <v>1291</v>
      </c>
      <c r="B654" s="16" t="s">
        <v>1276</v>
      </c>
      <c r="C654" s="9"/>
      <c r="D654" s="6" t="s">
        <v>541</v>
      </c>
      <c r="E654" s="10" t="s">
        <v>1218</v>
      </c>
      <c r="F654" s="6" t="s">
        <v>36</v>
      </c>
      <c r="G654" s="96" t="s">
        <v>1245</v>
      </c>
      <c r="I654" s="13" t="str">
        <f>IFERROR(__xludf.DUMMYFUNCTION("if(isblank(A654),,split(A654,""ー""))"),"27-150")</f>
        <v>27-150</v>
      </c>
      <c r="K654" s="13" t="str">
        <f>IFERROR(__xludf.DUMMYFUNCTION("if(isblank(B654),,split(B654,""ー""))"),"27-263")</f>
        <v>27-263</v>
      </c>
    </row>
    <row r="655">
      <c r="A655" s="15" t="s">
        <v>1291</v>
      </c>
      <c r="B655" s="16" t="s">
        <v>1277</v>
      </c>
      <c r="C655" s="9"/>
      <c r="D655" s="6" t="s">
        <v>541</v>
      </c>
      <c r="E655" s="10" t="s">
        <v>1218</v>
      </c>
      <c r="F655" s="6" t="s">
        <v>36</v>
      </c>
      <c r="G655" s="96" t="s">
        <v>1245</v>
      </c>
      <c r="I655" s="13" t="str">
        <f>IFERROR(__xludf.DUMMYFUNCTION("if(isblank(A655),,split(A655,""ー""))"),"27-150")</f>
        <v>27-150</v>
      </c>
      <c r="K655" s="13" t="str">
        <f>IFERROR(__xludf.DUMMYFUNCTION("if(isblank(B655),,split(B655,""ー""))"),"27-264")</f>
        <v>27-264</v>
      </c>
    </row>
    <row r="656">
      <c r="A656" s="15" t="s">
        <v>1291</v>
      </c>
      <c r="B656" s="16" t="s">
        <v>1278</v>
      </c>
      <c r="C656" s="9"/>
      <c r="D656" s="6" t="s">
        <v>541</v>
      </c>
      <c r="E656" s="10" t="s">
        <v>1218</v>
      </c>
      <c r="F656" s="6" t="s">
        <v>36</v>
      </c>
      <c r="G656" s="96" t="s">
        <v>1245</v>
      </c>
      <c r="I656" s="13" t="str">
        <f>IFERROR(__xludf.DUMMYFUNCTION("if(isblank(A656),,split(A656,""ー""))"),"27-150")</f>
        <v>27-150</v>
      </c>
      <c r="K656" s="13" t="str">
        <f>IFERROR(__xludf.DUMMYFUNCTION("if(isblank(B656),,split(B656,""ー""))"),"27-265")</f>
        <v>27-265</v>
      </c>
    </row>
    <row r="657">
      <c r="A657" s="15" t="s">
        <v>1292</v>
      </c>
      <c r="B657" s="16" t="s">
        <v>1293</v>
      </c>
      <c r="C657" s="9"/>
      <c r="D657" s="10" t="s">
        <v>30</v>
      </c>
      <c r="E657" s="10" t="s">
        <v>1218</v>
      </c>
      <c r="F657" s="6" t="s">
        <v>36</v>
      </c>
      <c r="G657" s="12" t="s">
        <v>1281</v>
      </c>
      <c r="I657" s="13" t="str">
        <f>IFERROR(__xludf.DUMMYFUNCTION("if(isblank(A657),,split(A657,""ー""))"),"27-151")</f>
        <v>27-151</v>
      </c>
      <c r="K657" s="13" t="str">
        <f>IFERROR(__xludf.DUMMYFUNCTION("if(isblank(B657),,split(B657,""ー""))"),"27-196")</f>
        <v>27-196</v>
      </c>
      <c r="M657" s="4"/>
      <c r="N657" s="4"/>
      <c r="O657" s="4"/>
      <c r="P657" s="4"/>
      <c r="Q657" s="4"/>
      <c r="R657" s="4"/>
      <c r="S657" s="4"/>
      <c r="T657" s="4"/>
      <c r="U657" s="4"/>
      <c r="V657" s="4"/>
      <c r="W657" s="4"/>
      <c r="X657" s="4"/>
    </row>
    <row r="658">
      <c r="A658" s="15" t="s">
        <v>1292</v>
      </c>
      <c r="B658" s="16" t="s">
        <v>1294</v>
      </c>
      <c r="C658" s="9"/>
      <c r="D658" s="10" t="s">
        <v>30</v>
      </c>
      <c r="E658" s="6" t="s">
        <v>1218</v>
      </c>
      <c r="F658" s="6" t="s">
        <v>36</v>
      </c>
      <c r="G658" s="12" t="s">
        <v>1281</v>
      </c>
      <c r="I658" s="13" t="str">
        <f>IFERROR(__xludf.DUMMYFUNCTION("if(isblank(A658),,split(A658,""ー""))"),"27-151")</f>
        <v>27-151</v>
      </c>
      <c r="K658" s="13" t="str">
        <f>IFERROR(__xludf.DUMMYFUNCTION("if(isblank(B658),,split(B658,""ー""))"),"27-200")</f>
        <v>27-200</v>
      </c>
      <c r="M658" s="4"/>
      <c r="N658" s="4"/>
      <c r="O658" s="4"/>
      <c r="P658" s="4"/>
      <c r="Q658" s="4"/>
      <c r="R658" s="4"/>
      <c r="S658" s="4"/>
      <c r="T658" s="4"/>
      <c r="U658" s="4"/>
      <c r="V658" s="4"/>
      <c r="W658" s="4"/>
      <c r="X658" s="4"/>
    </row>
    <row r="659">
      <c r="A659" s="15" t="s">
        <v>1292</v>
      </c>
      <c r="B659" s="16" t="s">
        <v>1294</v>
      </c>
      <c r="C659" s="9"/>
      <c r="D659" s="6" t="s">
        <v>30</v>
      </c>
      <c r="E659" s="6" t="s">
        <v>1218</v>
      </c>
      <c r="F659" s="6" t="s">
        <v>36</v>
      </c>
      <c r="G659" s="96" t="s">
        <v>1281</v>
      </c>
      <c r="I659" s="13" t="str">
        <f>IFERROR(__xludf.DUMMYFUNCTION("if(isblank(A659),,split(A659,""ー""))"),"27-151")</f>
        <v>27-151</v>
      </c>
      <c r="K659" s="13" t="str">
        <f>IFERROR(__xludf.DUMMYFUNCTION("if(isblank(B659),,split(B659,""ー""))"),"27-200")</f>
        <v>27-200</v>
      </c>
    </row>
    <row r="660">
      <c r="A660" s="15" t="s">
        <v>1292</v>
      </c>
      <c r="B660" s="16" t="s">
        <v>1295</v>
      </c>
      <c r="C660" s="9"/>
      <c r="D660" s="6" t="s">
        <v>30</v>
      </c>
      <c r="E660" s="6" t="s">
        <v>1218</v>
      </c>
      <c r="F660" s="6" t="s">
        <v>36</v>
      </c>
      <c r="G660" s="96" t="s">
        <v>1260</v>
      </c>
      <c r="I660" s="13" t="str">
        <f>IFERROR(__xludf.DUMMYFUNCTION("if(isblank(A660),,split(A660,""ー""))"),"27-151")</f>
        <v>27-151</v>
      </c>
      <c r="K660" s="13" t="str">
        <f>IFERROR(__xludf.DUMMYFUNCTION("if(isblank(B660),,split(B660,""ー""))"),"27-213")</f>
        <v>27-213</v>
      </c>
    </row>
    <row r="661">
      <c r="A661" s="15" t="s">
        <v>1292</v>
      </c>
      <c r="B661" s="16" t="s">
        <v>1296</v>
      </c>
      <c r="C661" s="9"/>
      <c r="D661" s="6" t="s">
        <v>30</v>
      </c>
      <c r="E661" s="10" t="s">
        <v>1218</v>
      </c>
      <c r="F661" s="6" t="s">
        <v>36</v>
      </c>
      <c r="G661" s="96" t="s">
        <v>1285</v>
      </c>
      <c r="I661" s="13" t="str">
        <f>IFERROR(__xludf.DUMMYFUNCTION("if(isblank(A661),,split(A661,""ー""))"),"27-151")</f>
        <v>27-151</v>
      </c>
      <c r="K661" s="13" t="str">
        <f>IFERROR(__xludf.DUMMYFUNCTION("if(isblank(B661),,split(B661,""ー""))"),"27-227")</f>
        <v>27-227</v>
      </c>
    </row>
    <row r="662">
      <c r="A662" s="15" t="s">
        <v>1292</v>
      </c>
      <c r="B662" s="75" t="s">
        <v>1297</v>
      </c>
      <c r="C662" s="9"/>
      <c r="D662" s="6" t="s">
        <v>30</v>
      </c>
      <c r="E662" s="10" t="s">
        <v>1218</v>
      </c>
      <c r="F662" s="6" t="s">
        <v>36</v>
      </c>
      <c r="G662" s="96" t="s">
        <v>1285</v>
      </c>
      <c r="I662" s="13" t="str">
        <f>IFERROR(__xludf.DUMMYFUNCTION("if(isblank(A662),,split(A662,""ー""))"),"27-151")</f>
        <v>27-151</v>
      </c>
      <c r="K662" s="13" t="str">
        <f>IFERROR(__xludf.DUMMYFUNCTION("if(isblank(B662),,split(B662,""ー""))"),"27-228")</f>
        <v>27-228</v>
      </c>
    </row>
    <row r="663">
      <c r="A663" s="15" t="s">
        <v>1292</v>
      </c>
      <c r="B663" s="16" t="s">
        <v>1298</v>
      </c>
      <c r="C663" s="9"/>
      <c r="D663" s="6" t="s">
        <v>30</v>
      </c>
      <c r="E663" s="10" t="s">
        <v>1218</v>
      </c>
      <c r="F663" s="6" t="s">
        <v>36</v>
      </c>
      <c r="G663" s="96" t="s">
        <v>1285</v>
      </c>
      <c r="I663" s="13" t="str">
        <f>IFERROR(__xludf.DUMMYFUNCTION("if(isblank(A663),,split(A663,""ー""))"),"27-151")</f>
        <v>27-151</v>
      </c>
      <c r="K663" s="13" t="str">
        <f>IFERROR(__xludf.DUMMYFUNCTION("if(isblank(B663),,split(B663,""ー""))"),"27-229")</f>
        <v>27-229</v>
      </c>
    </row>
    <row r="664">
      <c r="A664" s="15" t="s">
        <v>1299</v>
      </c>
      <c r="B664" s="16" t="s">
        <v>1300</v>
      </c>
      <c r="C664" s="9"/>
      <c r="D664" s="6" t="s">
        <v>36</v>
      </c>
      <c r="E664" s="55" t="s">
        <v>1218</v>
      </c>
      <c r="F664" s="6" t="s">
        <v>36</v>
      </c>
      <c r="G664" s="96" t="s">
        <v>1245</v>
      </c>
      <c r="I664" s="13" t="str">
        <f>IFERROR(__xludf.DUMMYFUNCTION("if(isblank(A664),,split(A664,""ー""))"),"27-154")</f>
        <v>27-154</v>
      </c>
      <c r="K664" s="13" t="str">
        <f>IFERROR(__xludf.DUMMYFUNCTION("if(isblank(B664),,split(B664,""ー""))"),"27-247")</f>
        <v>27-247</v>
      </c>
    </row>
    <row r="665">
      <c r="A665" s="15" t="s">
        <v>1301</v>
      </c>
      <c r="B665" s="16" t="s">
        <v>1302</v>
      </c>
      <c r="C665" s="9"/>
      <c r="D665" s="6" t="s">
        <v>36</v>
      </c>
      <c r="E665" s="10" t="s">
        <v>1218</v>
      </c>
      <c r="F665" s="6" t="s">
        <v>36</v>
      </c>
      <c r="G665" s="96" t="s">
        <v>1219</v>
      </c>
      <c r="I665" s="13" t="str">
        <f>IFERROR(__xludf.DUMMYFUNCTION("if(isblank(A665),,split(A665,""ー""))"),"27-160")</f>
        <v>27-160</v>
      </c>
      <c r="K665" s="13" t="str">
        <f>IFERROR(__xludf.DUMMYFUNCTION("if(isblank(B665),,split(B665,""ー""))"),"27-316")</f>
        <v>27-316</v>
      </c>
    </row>
    <row r="666">
      <c r="A666" s="15" t="s">
        <v>1303</v>
      </c>
      <c r="B666" s="16" t="s">
        <v>1304</v>
      </c>
      <c r="C666" s="9"/>
      <c r="D666" s="6" t="s">
        <v>36</v>
      </c>
      <c r="E666" s="10" t="s">
        <v>1218</v>
      </c>
      <c r="F666" s="6" t="s">
        <v>36</v>
      </c>
      <c r="G666" s="96" t="s">
        <v>1287</v>
      </c>
      <c r="I666" s="13" t="str">
        <f>IFERROR(__xludf.DUMMYFUNCTION("if(isblank(A666),,split(A666,""ー""))"),"27-161")</f>
        <v>27-161</v>
      </c>
      <c r="K666" s="13" t="str">
        <f>IFERROR(__xludf.DUMMYFUNCTION("if(isblank(B666),,split(B666,""ー""))"),"27-287")</f>
        <v>27-287</v>
      </c>
    </row>
    <row r="667">
      <c r="A667" s="15" t="s">
        <v>1305</v>
      </c>
      <c r="B667" s="16" t="s">
        <v>1306</v>
      </c>
      <c r="C667" s="9"/>
      <c r="D667" s="6" t="s">
        <v>1307</v>
      </c>
      <c r="E667" s="10" t="s">
        <v>1218</v>
      </c>
      <c r="F667" s="6" t="s">
        <v>36</v>
      </c>
      <c r="G667" s="96" t="s">
        <v>1287</v>
      </c>
      <c r="I667" s="13" t="str">
        <f>IFERROR(__xludf.DUMMYFUNCTION("if(isblank(A667),,split(A667,""ー""))"),"27-162")</f>
        <v>27-162</v>
      </c>
      <c r="K667" s="13" t="str">
        <f>IFERROR(__xludf.DUMMYFUNCTION("if(isblank(B667),,split(B667,""ー""))"),"27-280")</f>
        <v>27-280</v>
      </c>
    </row>
    <row r="668">
      <c r="A668" s="15" t="s">
        <v>1308</v>
      </c>
      <c r="B668" s="16" t="s">
        <v>1309</v>
      </c>
      <c r="C668" s="9"/>
      <c r="D668" s="10" t="s">
        <v>165</v>
      </c>
      <c r="E668" s="10" t="s">
        <v>1218</v>
      </c>
      <c r="F668" s="6" t="s">
        <v>36</v>
      </c>
      <c r="G668" s="12" t="s">
        <v>1281</v>
      </c>
      <c r="I668" s="13" t="str">
        <f>IFERROR(__xludf.DUMMYFUNCTION("if(isblank(A668),,split(A668,""ー""))"),"27-163")</f>
        <v>27-163</v>
      </c>
      <c r="K668" s="13" t="str">
        <f>IFERROR(__xludf.DUMMYFUNCTION("if(isblank(B668),,split(B668,""ー""))"),"27-192")</f>
        <v>27-192</v>
      </c>
      <c r="M668" s="4"/>
      <c r="N668" s="4"/>
      <c r="O668" s="4"/>
      <c r="P668" s="4"/>
      <c r="Q668" s="4"/>
      <c r="R668" s="4"/>
      <c r="S668" s="4"/>
      <c r="T668" s="4"/>
      <c r="U668" s="4"/>
      <c r="V668" s="4"/>
      <c r="W668" s="4"/>
      <c r="X668" s="4"/>
    </row>
    <row r="669">
      <c r="A669" s="15" t="s">
        <v>1308</v>
      </c>
      <c r="B669" s="16" t="s">
        <v>1310</v>
      </c>
      <c r="C669" s="9"/>
      <c r="D669" s="10" t="s">
        <v>165</v>
      </c>
      <c r="E669" s="10" t="s">
        <v>1218</v>
      </c>
      <c r="F669" s="6" t="s">
        <v>36</v>
      </c>
      <c r="G669" s="12" t="s">
        <v>1281</v>
      </c>
      <c r="I669" s="13" t="str">
        <f>IFERROR(__xludf.DUMMYFUNCTION("if(isblank(A669),,split(A669,""ー""))"),"27-163")</f>
        <v>27-163</v>
      </c>
      <c r="K669" s="13" t="str">
        <f>IFERROR(__xludf.DUMMYFUNCTION("if(isblank(B669),,split(B669,""ー""))"),"27-193")</f>
        <v>27-193</v>
      </c>
    </row>
    <row r="670">
      <c r="A670" s="15" t="s">
        <v>1311</v>
      </c>
      <c r="B670" s="16" t="s">
        <v>1312</v>
      </c>
      <c r="C670" s="9"/>
      <c r="D670" s="6" t="s">
        <v>36</v>
      </c>
      <c r="E670" s="10" t="s">
        <v>1218</v>
      </c>
      <c r="F670" s="6" t="s">
        <v>36</v>
      </c>
      <c r="G670" s="96" t="s">
        <v>1285</v>
      </c>
      <c r="I670" s="13" t="str">
        <f>IFERROR(__xludf.DUMMYFUNCTION("if(isblank(A670),,split(A670,""ー""))"),"27-164")</f>
        <v>27-164</v>
      </c>
      <c r="K670" s="13" t="str">
        <f>IFERROR(__xludf.DUMMYFUNCTION("if(isblank(B670),,split(B670,""ー""))"),"27-231")</f>
        <v>27-231</v>
      </c>
    </row>
    <row r="671">
      <c r="A671" s="15" t="s">
        <v>1311</v>
      </c>
      <c r="B671" s="16" t="s">
        <v>1313</v>
      </c>
      <c r="C671" s="9"/>
      <c r="D671" s="6" t="s">
        <v>36</v>
      </c>
      <c r="E671" s="6" t="s">
        <v>1218</v>
      </c>
      <c r="F671" s="6" t="s">
        <v>36</v>
      </c>
      <c r="G671" s="96" t="s">
        <v>1285</v>
      </c>
      <c r="I671" s="13" t="str">
        <f>IFERROR(__xludf.DUMMYFUNCTION("if(isblank(A671),,split(A671,""ー""))"),"27-164")</f>
        <v>27-164</v>
      </c>
      <c r="K671" s="13" t="str">
        <f>IFERROR(__xludf.DUMMYFUNCTION("if(isblank(B671),,split(B671,""ー""))"),"27-232")</f>
        <v>27-232</v>
      </c>
    </row>
    <row r="672">
      <c r="A672" s="15" t="s">
        <v>1314</v>
      </c>
      <c r="B672" s="16" t="s">
        <v>1315</v>
      </c>
      <c r="C672" s="9"/>
      <c r="D672" s="6" t="s">
        <v>1247</v>
      </c>
      <c r="E672" s="55" t="s">
        <v>1218</v>
      </c>
      <c r="F672" s="6" t="s">
        <v>36</v>
      </c>
      <c r="G672" s="96" t="s">
        <v>1245</v>
      </c>
      <c r="I672" s="13" t="str">
        <f>IFERROR(__xludf.DUMMYFUNCTION("if(isblank(A672),,split(A672,""ー""))"),"27-166")</f>
        <v>27-166</v>
      </c>
      <c r="K672" s="13" t="str">
        <f>IFERROR(__xludf.DUMMYFUNCTION("if(isblank(B672),,split(B672,""ー""))"),"27-266")</f>
        <v>27-266</v>
      </c>
    </row>
    <row r="673">
      <c r="A673" s="15" t="s">
        <v>1314</v>
      </c>
      <c r="B673" s="16" t="s">
        <v>1316</v>
      </c>
      <c r="C673" s="9"/>
      <c r="D673" s="6" t="s">
        <v>36</v>
      </c>
      <c r="E673" s="55" t="s">
        <v>1218</v>
      </c>
      <c r="F673" s="6" t="s">
        <v>36</v>
      </c>
      <c r="G673" s="96" t="s">
        <v>1287</v>
      </c>
      <c r="I673" s="13" t="str">
        <f>IFERROR(__xludf.DUMMYFUNCTION("if(isblank(A673),,split(A673,""ー""))"),"27-166")</f>
        <v>27-166</v>
      </c>
      <c r="K673" s="13" t="str">
        <f>IFERROR(__xludf.DUMMYFUNCTION("if(isblank(B673),,split(B673,""ー""))"),"27-286")</f>
        <v>27-286</v>
      </c>
    </row>
    <row r="674">
      <c r="A674" s="15" t="s">
        <v>1317</v>
      </c>
      <c r="B674" s="16" t="s">
        <v>1318</v>
      </c>
      <c r="C674" s="9"/>
      <c r="D674" s="10" t="s">
        <v>165</v>
      </c>
      <c r="E674" s="10" t="s">
        <v>1218</v>
      </c>
      <c r="F674" s="6" t="s">
        <v>36</v>
      </c>
      <c r="G674" s="12" t="s">
        <v>1281</v>
      </c>
      <c r="I674" s="13" t="str">
        <f>IFERROR(__xludf.DUMMYFUNCTION("if(isblank(A674),,split(A674,""ー""))"),"27-167")</f>
        <v>27-167</v>
      </c>
      <c r="K674" s="13" t="str">
        <f>IFERROR(__xludf.DUMMYFUNCTION("if(isblank(B674),,split(B674,""ー""))"),"27-194")</f>
        <v>27-194</v>
      </c>
    </row>
    <row r="675">
      <c r="A675" s="15" t="s">
        <v>1317</v>
      </c>
      <c r="B675" s="16" t="s">
        <v>1319</v>
      </c>
      <c r="C675" s="9"/>
      <c r="D675" s="6" t="s">
        <v>1247</v>
      </c>
      <c r="E675" s="6" t="s">
        <v>1218</v>
      </c>
      <c r="F675" s="6" t="s">
        <v>36</v>
      </c>
      <c r="G675" s="96" t="s">
        <v>1285</v>
      </c>
      <c r="I675" s="13" t="str">
        <f>IFERROR(__xludf.DUMMYFUNCTION("if(isblank(A675),,split(A675,""ー""))"),"27-167")</f>
        <v>27-167</v>
      </c>
      <c r="K675" s="13" t="str">
        <f>IFERROR(__xludf.DUMMYFUNCTION("if(isblank(B675),,split(B675,""ー""))"),"27-226")</f>
        <v>27-226</v>
      </c>
    </row>
    <row r="676">
      <c r="A676" s="15" t="s">
        <v>1320</v>
      </c>
      <c r="B676" s="16" t="s">
        <v>1321</v>
      </c>
      <c r="C676" s="9"/>
      <c r="D676" s="10" t="s">
        <v>30</v>
      </c>
      <c r="E676" s="10" t="s">
        <v>1218</v>
      </c>
      <c r="F676" s="6" t="s">
        <v>36</v>
      </c>
      <c r="G676" s="12" t="s">
        <v>1281</v>
      </c>
      <c r="I676" s="13" t="str">
        <f>IFERROR(__xludf.DUMMYFUNCTION("if(isblank(A676),,split(A676,""ー""))"),"27-168")</f>
        <v>27-168</v>
      </c>
      <c r="K676" s="13" t="str">
        <f>IFERROR(__xludf.DUMMYFUNCTION("if(isblank(B676),,split(B676,""ー""))"),"27-195")</f>
        <v>27-195</v>
      </c>
    </row>
    <row r="677">
      <c r="A677" s="15" t="s">
        <v>1320</v>
      </c>
      <c r="B677" s="16" t="s">
        <v>1322</v>
      </c>
      <c r="C677" s="9"/>
      <c r="D677" s="6" t="s">
        <v>30</v>
      </c>
      <c r="E677" s="10" t="s">
        <v>1218</v>
      </c>
      <c r="F677" s="6" t="s">
        <v>36</v>
      </c>
      <c r="G677" s="96" t="s">
        <v>1219</v>
      </c>
      <c r="I677" s="13" t="str">
        <f>IFERROR(__xludf.DUMMYFUNCTION("if(isblank(A677),,split(A677,""ー""))"),"27-168")</f>
        <v>27-168</v>
      </c>
      <c r="K677" s="13" t="str">
        <f>IFERROR(__xludf.DUMMYFUNCTION("if(isblank(B677),,split(B677,""ー""))"),"27-329")</f>
        <v>27-329</v>
      </c>
    </row>
    <row r="678">
      <c r="A678" s="15" t="s">
        <v>1323</v>
      </c>
      <c r="B678" s="16" t="s">
        <v>1324</v>
      </c>
      <c r="C678" s="9"/>
      <c r="D678" s="10" t="s">
        <v>165</v>
      </c>
      <c r="E678" s="6" t="s">
        <v>1218</v>
      </c>
      <c r="F678" s="6" t="s">
        <v>1325</v>
      </c>
      <c r="G678" s="12" t="s">
        <v>1281</v>
      </c>
      <c r="I678" s="13" t="str">
        <f>IFERROR(__xludf.DUMMYFUNCTION("if(isblank(A678),,split(A678,""ー""))"),"27-170")</f>
        <v>27-170</v>
      </c>
      <c r="K678" s="13" t="str">
        <f>IFERROR(__xludf.DUMMYFUNCTION("if(isblank(B678),,split(B678,""ー""))"),"27-202")</f>
        <v>27-202</v>
      </c>
    </row>
    <row r="679">
      <c r="A679" s="15" t="s">
        <v>1323</v>
      </c>
      <c r="B679" s="16" t="s">
        <v>1324</v>
      </c>
      <c r="C679" s="9"/>
      <c r="D679" s="6" t="s">
        <v>165</v>
      </c>
      <c r="E679" s="10" t="s">
        <v>1218</v>
      </c>
      <c r="F679" s="6" t="s">
        <v>36</v>
      </c>
      <c r="G679" s="96" t="s">
        <v>1281</v>
      </c>
      <c r="I679" s="13" t="str">
        <f>IFERROR(__xludf.DUMMYFUNCTION("if(isblank(A679),,split(A679,""ー""))"),"27-170")</f>
        <v>27-170</v>
      </c>
      <c r="K679" s="13" t="str">
        <f>IFERROR(__xludf.DUMMYFUNCTION("if(isblank(B679),,split(B679,""ー""))"),"27-202")</f>
        <v>27-202</v>
      </c>
    </row>
    <row r="680">
      <c r="A680" s="15" t="s">
        <v>1323</v>
      </c>
      <c r="B680" s="16" t="s">
        <v>1326</v>
      </c>
      <c r="C680" s="9"/>
      <c r="D680" s="6" t="s">
        <v>36</v>
      </c>
      <c r="E680" s="10" t="s">
        <v>1218</v>
      </c>
      <c r="F680" s="6" t="s">
        <v>36</v>
      </c>
      <c r="G680" s="96" t="s">
        <v>1285</v>
      </c>
      <c r="I680" s="13" t="str">
        <f>IFERROR(__xludf.DUMMYFUNCTION("if(isblank(A680),,split(A680,""ー""))"),"27-170")</f>
        <v>27-170</v>
      </c>
      <c r="K680" s="13" t="str">
        <f>IFERROR(__xludf.DUMMYFUNCTION("if(isblank(B680),,split(B680,""ー""))"),"27-237")</f>
        <v>27-237</v>
      </c>
    </row>
    <row r="681">
      <c r="A681" s="15" t="s">
        <v>1327</v>
      </c>
      <c r="B681" s="16" t="s">
        <v>1328</v>
      </c>
      <c r="C681" s="9"/>
      <c r="D681" s="6" t="s">
        <v>165</v>
      </c>
      <c r="E681" s="6" t="s">
        <v>1218</v>
      </c>
      <c r="F681" s="6" t="s">
        <v>36</v>
      </c>
      <c r="G681" s="96" t="s">
        <v>1260</v>
      </c>
      <c r="I681" s="13" t="str">
        <f>IFERROR(__xludf.DUMMYFUNCTION("if(isblank(A681),,split(A681,""ー""))"),"27-177")</f>
        <v>27-177</v>
      </c>
      <c r="K681" s="13" t="str">
        <f>IFERROR(__xludf.DUMMYFUNCTION("if(isblank(B681),,split(B681,""ー""))"),"27-209")</f>
        <v>27-209</v>
      </c>
    </row>
    <row r="682">
      <c r="A682" s="15" t="s">
        <v>1327</v>
      </c>
      <c r="B682" s="16" t="s">
        <v>1329</v>
      </c>
      <c r="C682" s="9"/>
      <c r="D682" s="6" t="s">
        <v>165</v>
      </c>
      <c r="E682" s="6" t="s">
        <v>1218</v>
      </c>
      <c r="F682" s="6" t="s">
        <v>36</v>
      </c>
      <c r="G682" s="96" t="s">
        <v>1260</v>
      </c>
      <c r="I682" s="13" t="str">
        <f>IFERROR(__xludf.DUMMYFUNCTION("if(isblank(A682),,split(A682,""ー""))"),"27-177")</f>
        <v>27-177</v>
      </c>
      <c r="K682" s="13" t="str">
        <f>IFERROR(__xludf.DUMMYFUNCTION("if(isblank(B682),,split(B682,""ー""))"),"27-210")</f>
        <v>27-210</v>
      </c>
    </row>
    <row r="683">
      <c r="A683" s="15" t="s">
        <v>1330</v>
      </c>
      <c r="B683" s="16" t="s">
        <v>1246</v>
      </c>
      <c r="C683" s="9"/>
      <c r="D683" s="6" t="s">
        <v>36</v>
      </c>
      <c r="E683" s="10" t="s">
        <v>1218</v>
      </c>
      <c r="F683" s="6" t="s">
        <v>36</v>
      </c>
      <c r="G683" s="96" t="s">
        <v>1245</v>
      </c>
      <c r="I683" s="13" t="str">
        <f>IFERROR(__xludf.DUMMYFUNCTION("if(isblank(A683),,split(A683,""ー""))"),"27-187")</f>
        <v>27-187</v>
      </c>
      <c r="K683" s="13" t="str">
        <f>IFERROR(__xludf.DUMMYFUNCTION("if(isblank(B683),,split(B683,""ー""))"),"27-276")</f>
        <v>27-276</v>
      </c>
    </row>
    <row r="684">
      <c r="A684" s="15" t="s">
        <v>1331</v>
      </c>
      <c r="B684" s="16" t="s">
        <v>1332</v>
      </c>
      <c r="C684" s="9"/>
      <c r="D684" s="6" t="s">
        <v>165</v>
      </c>
      <c r="E684" s="10" t="s">
        <v>1218</v>
      </c>
      <c r="F684" s="6" t="s">
        <v>36</v>
      </c>
      <c r="G684" s="96" t="s">
        <v>1219</v>
      </c>
      <c r="I684" s="13" t="str">
        <f>IFERROR(__xludf.DUMMYFUNCTION("if(isblank(A684),,split(A684,""ー""))"),"27-189")</f>
        <v>27-189</v>
      </c>
      <c r="K684" s="13" t="str">
        <f>IFERROR(__xludf.DUMMYFUNCTION("if(isblank(B684),,split(B684,""ー""))"),"27-340")</f>
        <v>27-340</v>
      </c>
    </row>
    <row r="685">
      <c r="A685" s="15" t="s">
        <v>1333</v>
      </c>
      <c r="B685" s="16" t="s">
        <v>1334</v>
      </c>
      <c r="C685" s="9"/>
      <c r="D685" s="10" t="s">
        <v>165</v>
      </c>
      <c r="E685" s="10" t="s">
        <v>1218</v>
      </c>
      <c r="F685" s="11" t="s">
        <v>36</v>
      </c>
      <c r="G685" s="12" t="s">
        <v>1335</v>
      </c>
      <c r="I685" s="13" t="str">
        <f>IFERROR(__xludf.DUMMYFUNCTION("if(isblank(A685),,split(A685,""ー""))"),"27-19")</f>
        <v>27-19</v>
      </c>
      <c r="K685" s="13" t="str">
        <f>IFERROR(__xludf.DUMMYFUNCTION("if(isblank(B685),,split(B685,""ー""))"),"27-118")</f>
        <v>27-118</v>
      </c>
    </row>
    <row r="686">
      <c r="A686" s="15" t="s">
        <v>1333</v>
      </c>
      <c r="B686" s="16" t="s">
        <v>1334</v>
      </c>
      <c r="C686" s="9"/>
      <c r="D686" s="10" t="s">
        <v>165</v>
      </c>
      <c r="E686" s="10" t="s">
        <v>1218</v>
      </c>
      <c r="F686" s="11" t="s">
        <v>36</v>
      </c>
      <c r="G686" s="12" t="s">
        <v>1335</v>
      </c>
      <c r="I686" s="13" t="str">
        <f>IFERROR(__xludf.DUMMYFUNCTION("if(isblank(A686),,split(A686,""ー""))"),"27-19")</f>
        <v>27-19</v>
      </c>
      <c r="K686" s="13" t="str">
        <f>IFERROR(__xludf.DUMMYFUNCTION("if(isblank(B686),,split(B686,""ー""))"),"27-118")</f>
        <v>27-118</v>
      </c>
    </row>
    <row r="687">
      <c r="A687" s="94" t="s">
        <v>1333</v>
      </c>
      <c r="B687" s="86" t="s">
        <v>1336</v>
      </c>
      <c r="C687" s="9"/>
      <c r="D687" s="6" t="s">
        <v>165</v>
      </c>
      <c r="E687" s="6" t="s">
        <v>1218</v>
      </c>
      <c r="F687" s="6" t="s">
        <v>36</v>
      </c>
      <c r="G687" s="64" t="s">
        <v>1337</v>
      </c>
      <c r="I687" s="13" t="str">
        <f>IFERROR(__xludf.DUMMYFUNCTION("if(isblank(A687),,split(A687,""ー""))"),"27-19")</f>
        <v>27-19</v>
      </c>
      <c r="K687" s="13" t="str">
        <f>IFERROR(__xludf.DUMMYFUNCTION("if(isblank(B687),,split(B687,""ー""))"),"27-44")</f>
        <v>27-44</v>
      </c>
    </row>
    <row r="688">
      <c r="A688" s="15" t="s">
        <v>1338</v>
      </c>
      <c r="B688" s="16" t="s">
        <v>1339</v>
      </c>
      <c r="C688" s="9"/>
      <c r="D688" s="6" t="s">
        <v>165</v>
      </c>
      <c r="E688" s="10" t="s">
        <v>1218</v>
      </c>
      <c r="F688" s="6" t="s">
        <v>36</v>
      </c>
      <c r="G688" s="96" t="s">
        <v>1260</v>
      </c>
      <c r="I688" s="13" t="str">
        <f>IFERROR(__xludf.DUMMYFUNCTION("if(isblank(A688),,split(A688,""ー""))"),"27-191")</f>
        <v>27-191</v>
      </c>
      <c r="K688" s="13" t="str">
        <f>IFERROR(__xludf.DUMMYFUNCTION("if(isblank(B688),,split(B688,""ー""))"),"27-216")</f>
        <v>27-216</v>
      </c>
    </row>
    <row r="689">
      <c r="A689" s="15" t="s">
        <v>1309</v>
      </c>
      <c r="B689" s="16" t="s">
        <v>1310</v>
      </c>
      <c r="C689" s="9"/>
      <c r="D689" s="10" t="s">
        <v>165</v>
      </c>
      <c r="E689" s="10" t="s">
        <v>1218</v>
      </c>
      <c r="F689" s="6" t="s">
        <v>36</v>
      </c>
      <c r="G689" s="12" t="s">
        <v>1281</v>
      </c>
      <c r="I689" s="13" t="str">
        <f>IFERROR(__xludf.DUMMYFUNCTION("if(isblank(A689),,split(A689,""ー""))"),"27-192")</f>
        <v>27-192</v>
      </c>
      <c r="K689" s="13" t="str">
        <f>IFERROR(__xludf.DUMMYFUNCTION("if(isblank(B689),,split(B689,""ー""))"),"27-193")</f>
        <v>27-193</v>
      </c>
    </row>
    <row r="690">
      <c r="A690" s="15" t="s">
        <v>1293</v>
      </c>
      <c r="B690" s="16" t="s">
        <v>1340</v>
      </c>
      <c r="C690" s="9"/>
      <c r="D690" s="6" t="s">
        <v>165</v>
      </c>
      <c r="E690" s="55" t="s">
        <v>1218</v>
      </c>
      <c r="F690" s="6" t="s">
        <v>36</v>
      </c>
      <c r="G690" s="96" t="s">
        <v>1219</v>
      </c>
      <c r="I690" s="13" t="str">
        <f>IFERROR(__xludf.DUMMYFUNCTION("if(isblank(A690),,split(A690,""ー""))"),"27-196")</f>
        <v>27-196</v>
      </c>
      <c r="K690" s="13" t="str">
        <f>IFERROR(__xludf.DUMMYFUNCTION("if(isblank(B690),,split(B690,""ー""))"),"27-319")</f>
        <v>27-319</v>
      </c>
    </row>
    <row r="691">
      <c r="A691" s="15" t="s">
        <v>1341</v>
      </c>
      <c r="B691" s="16" t="s">
        <v>1342</v>
      </c>
      <c r="C691" s="9"/>
      <c r="D691" s="6" t="s">
        <v>30</v>
      </c>
      <c r="E691" s="6" t="s">
        <v>36</v>
      </c>
      <c r="F691" s="6" t="s">
        <v>36</v>
      </c>
      <c r="G691" s="96" t="s">
        <v>1281</v>
      </c>
      <c r="I691" s="13" t="str">
        <f>IFERROR(__xludf.DUMMYFUNCTION("if(isblank(A691),,split(A691,""ー""))"),"27-198")</f>
        <v>27-198</v>
      </c>
      <c r="K691" s="13" t="str">
        <f>IFERROR(__xludf.DUMMYFUNCTION("if(isblank(B691),,split(B691,""ー""))"),"12-45")</f>
        <v>12-45</v>
      </c>
    </row>
    <row r="692">
      <c r="A692" s="15" t="s">
        <v>1341</v>
      </c>
      <c r="B692" s="16" t="s">
        <v>1342</v>
      </c>
      <c r="C692" s="9"/>
      <c r="D692" s="10" t="s">
        <v>30</v>
      </c>
      <c r="E692" s="6" t="s">
        <v>1218</v>
      </c>
      <c r="F692" s="6" t="s">
        <v>36</v>
      </c>
      <c r="G692" s="12" t="s">
        <v>1281</v>
      </c>
      <c r="I692" s="13" t="str">
        <f>IFERROR(__xludf.DUMMYFUNCTION("if(isblank(A692),,split(A692,""ー""))"),"27-198")</f>
        <v>27-198</v>
      </c>
      <c r="K692" s="13" t="str">
        <f>IFERROR(__xludf.DUMMYFUNCTION("if(isblank(B692),,split(B692,""ー""))"),"12-45")</f>
        <v>12-45</v>
      </c>
    </row>
    <row r="693">
      <c r="A693" s="15" t="s">
        <v>1341</v>
      </c>
      <c r="B693" s="16" t="s">
        <v>1343</v>
      </c>
      <c r="C693" s="9"/>
      <c r="D693" s="6" t="s">
        <v>30</v>
      </c>
      <c r="E693" s="6" t="s">
        <v>36</v>
      </c>
      <c r="F693" s="6" t="s">
        <v>36</v>
      </c>
      <c r="G693" s="96" t="s">
        <v>1281</v>
      </c>
      <c r="I693" s="13" t="str">
        <f>IFERROR(__xludf.DUMMYFUNCTION("if(isblank(A693),,split(A693,""ー""))"),"27-198")</f>
        <v>27-198</v>
      </c>
      <c r="K693" s="13" t="str">
        <f>IFERROR(__xludf.DUMMYFUNCTION("if(isblank(B693),,split(B693,""ー""))"),"29-6")</f>
        <v>29-6</v>
      </c>
    </row>
    <row r="694">
      <c r="A694" s="15" t="s">
        <v>1341</v>
      </c>
      <c r="B694" s="16" t="s">
        <v>1343</v>
      </c>
      <c r="C694" s="9"/>
      <c r="D694" s="10" t="s">
        <v>30</v>
      </c>
      <c r="E694" s="6" t="s">
        <v>1218</v>
      </c>
      <c r="F694" s="6" t="s">
        <v>36</v>
      </c>
      <c r="G694" s="12" t="s">
        <v>1281</v>
      </c>
      <c r="I694" s="13" t="str">
        <f>IFERROR(__xludf.DUMMYFUNCTION("if(isblank(A694),,split(A694,""ー""))"),"27-198")</f>
        <v>27-198</v>
      </c>
      <c r="K694" s="13" t="str">
        <f>IFERROR(__xludf.DUMMYFUNCTION("if(isblank(B694),,split(B694,""ー""))"),"29-6")</f>
        <v>29-6</v>
      </c>
    </row>
    <row r="695">
      <c r="A695" s="94" t="s">
        <v>1344</v>
      </c>
      <c r="B695" s="86" t="s">
        <v>1345</v>
      </c>
      <c r="C695" s="9">
        <v>43876.0</v>
      </c>
      <c r="D695" s="6" t="s">
        <v>1346</v>
      </c>
      <c r="E695" s="6" t="s">
        <v>1218</v>
      </c>
      <c r="F695" s="6" t="s">
        <v>36</v>
      </c>
      <c r="G695" s="64" t="s">
        <v>1347</v>
      </c>
      <c r="I695" s="13" t="str">
        <f>IFERROR(__xludf.DUMMYFUNCTION("if(isblank(A695),,split(A695,""ー""))"),"27-2")</f>
        <v>27-2</v>
      </c>
      <c r="K695" s="13" t="str">
        <f>IFERROR(__xludf.DUMMYFUNCTION("if(isblank(B695),,split(B695,""ー""))"),"1-39")</f>
        <v>1-39</v>
      </c>
    </row>
    <row r="696">
      <c r="A696" s="94" t="s">
        <v>1344</v>
      </c>
      <c r="B696" s="86" t="s">
        <v>1348</v>
      </c>
      <c r="C696" s="9">
        <v>43876.0</v>
      </c>
      <c r="D696" s="6" t="s">
        <v>1349</v>
      </c>
      <c r="E696" s="6" t="s">
        <v>1218</v>
      </c>
      <c r="F696" s="11" t="s">
        <v>813</v>
      </c>
      <c r="G696" s="64" t="s">
        <v>1232</v>
      </c>
      <c r="I696" s="13" t="str">
        <f>IFERROR(__xludf.DUMMYFUNCTION("if(isblank(A696),,split(A696,""ー""))"),"27-2")</f>
        <v>27-2</v>
      </c>
      <c r="K696" s="13" t="str">
        <f>IFERROR(__xludf.DUMMYFUNCTION("if(isblank(B696),,split(B696,""ー""))"),"27-10")</f>
        <v>27-10</v>
      </c>
    </row>
    <row r="697">
      <c r="A697" s="94" t="s">
        <v>1344</v>
      </c>
      <c r="B697" s="86" t="s">
        <v>993</v>
      </c>
      <c r="C697" s="9">
        <v>43877.0</v>
      </c>
      <c r="D697" s="6" t="s">
        <v>1350</v>
      </c>
      <c r="E697" s="6" t="s">
        <v>1218</v>
      </c>
      <c r="F697" s="11" t="s">
        <v>813</v>
      </c>
      <c r="G697" s="64" t="s">
        <v>1232</v>
      </c>
      <c r="I697" s="13" t="str">
        <f>IFERROR(__xludf.DUMMYFUNCTION("if(isblank(A697),,split(A697,""ー""))"),"27-2")</f>
        <v>27-2</v>
      </c>
      <c r="K697" s="13" t="str">
        <f>IFERROR(__xludf.DUMMYFUNCTION("if(isblank(B697),,split(B697,""ー""))"),"27-12")</f>
        <v>27-12</v>
      </c>
    </row>
    <row r="698">
      <c r="A698" s="94" t="s">
        <v>1344</v>
      </c>
      <c r="B698" s="86" t="s">
        <v>1351</v>
      </c>
      <c r="C698" s="9">
        <v>43877.0</v>
      </c>
      <c r="D698" s="6" t="s">
        <v>1349</v>
      </c>
      <c r="E698" s="6" t="s">
        <v>1218</v>
      </c>
      <c r="F698" s="11" t="s">
        <v>813</v>
      </c>
      <c r="G698" s="64" t="s">
        <v>1352</v>
      </c>
      <c r="I698" s="13" t="str">
        <f>IFERROR(__xludf.DUMMYFUNCTION("if(isblank(A698),,split(A698,""ー""))"),"27-2")</f>
        <v>27-2</v>
      </c>
      <c r="K698" s="13" t="str">
        <f>IFERROR(__xludf.DUMMYFUNCTION("if(isblank(B698),,split(B698,""ー""))"),"27-18")</f>
        <v>27-18</v>
      </c>
    </row>
    <row r="699">
      <c r="A699" s="94" t="s">
        <v>1344</v>
      </c>
      <c r="B699" s="86" t="s">
        <v>1333</v>
      </c>
      <c r="C699" s="9"/>
      <c r="D699" s="6" t="s">
        <v>1353</v>
      </c>
      <c r="E699" s="6" t="s">
        <v>1218</v>
      </c>
      <c r="F699" s="6" t="s">
        <v>36</v>
      </c>
      <c r="G699" s="64" t="s">
        <v>1254</v>
      </c>
      <c r="I699" s="13" t="str">
        <f>IFERROR(__xludf.DUMMYFUNCTION("if(isblank(A699),,split(A699,""ー""))"),"27-2")</f>
        <v>27-2</v>
      </c>
      <c r="K699" s="13" t="str">
        <f>IFERROR(__xludf.DUMMYFUNCTION("if(isblank(B699),,split(B699,""ー""))"),"27-19")</f>
        <v>27-19</v>
      </c>
    </row>
    <row r="700">
      <c r="A700" s="94" t="s">
        <v>1344</v>
      </c>
      <c r="B700" s="86" t="s">
        <v>1354</v>
      </c>
      <c r="C700" s="9"/>
      <c r="D700" s="6" t="s">
        <v>36</v>
      </c>
      <c r="E700" s="6" t="s">
        <v>1218</v>
      </c>
      <c r="F700" s="6" t="s">
        <v>36</v>
      </c>
      <c r="G700" s="64" t="s">
        <v>1254</v>
      </c>
      <c r="I700" s="13" t="str">
        <f>IFERROR(__xludf.DUMMYFUNCTION("if(isblank(A700),,split(A700,""ー""))"),"27-2")</f>
        <v>27-2</v>
      </c>
      <c r="K700" s="13" t="str">
        <f>IFERROR(__xludf.DUMMYFUNCTION("if(isblank(B700),,split(B700,""ー""))"),"27-27")</f>
        <v>27-27</v>
      </c>
    </row>
    <row r="701">
      <c r="A701" s="94" t="s">
        <v>1344</v>
      </c>
      <c r="B701" s="86" t="s">
        <v>1355</v>
      </c>
      <c r="C701" s="9"/>
      <c r="D701" s="6" t="s">
        <v>165</v>
      </c>
      <c r="E701" s="6" t="s">
        <v>1218</v>
      </c>
      <c r="F701" s="6" t="s">
        <v>36</v>
      </c>
      <c r="G701" s="64" t="s">
        <v>1356</v>
      </c>
      <c r="I701" s="13" t="str">
        <f>IFERROR(__xludf.DUMMYFUNCTION("if(isblank(A701),,split(A701,""ー""))"),"27-2")</f>
        <v>27-2</v>
      </c>
      <c r="K701" s="13" t="str">
        <f>IFERROR(__xludf.DUMMYFUNCTION("if(isblank(B701),,split(B701,""ー""))"),"27-3")</f>
        <v>27-3</v>
      </c>
    </row>
    <row r="702">
      <c r="A702" s="94" t="s">
        <v>1344</v>
      </c>
      <c r="B702" s="86" t="s">
        <v>1235</v>
      </c>
      <c r="C702" s="9">
        <v>43876.0</v>
      </c>
      <c r="D702" s="6" t="s">
        <v>1357</v>
      </c>
      <c r="E702" s="6" t="s">
        <v>1218</v>
      </c>
      <c r="F702" s="6" t="s">
        <v>813</v>
      </c>
      <c r="G702" s="64" t="s">
        <v>1237</v>
      </c>
      <c r="I702" s="13" t="str">
        <f>IFERROR(__xludf.DUMMYFUNCTION("if(isblank(A702),,split(A702,""ー""))"),"27-2")</f>
        <v>27-2</v>
      </c>
      <c r="K702" s="13" t="str">
        <f>IFERROR(__xludf.DUMMYFUNCTION("if(isblank(B702),,split(B702,""ー""))"),"27-32")</f>
        <v>27-32</v>
      </c>
    </row>
    <row r="703">
      <c r="A703" s="94" t="s">
        <v>1344</v>
      </c>
      <c r="B703" s="86" t="s">
        <v>1358</v>
      </c>
      <c r="C703" s="9">
        <v>43876.0</v>
      </c>
      <c r="D703" s="6" t="s">
        <v>1357</v>
      </c>
      <c r="E703" s="6" t="s">
        <v>1218</v>
      </c>
      <c r="F703" s="11" t="s">
        <v>813</v>
      </c>
      <c r="G703" s="64" t="s">
        <v>1237</v>
      </c>
      <c r="I703" s="13" t="str">
        <f>IFERROR(__xludf.DUMMYFUNCTION("if(isblank(A703),,split(A703,""ー""))"),"27-2")</f>
        <v>27-2</v>
      </c>
      <c r="K703" s="13" t="str">
        <f>IFERROR(__xludf.DUMMYFUNCTION("if(isblank(B703),,split(B703,""ー""))"),"27-33")</f>
        <v>27-33</v>
      </c>
    </row>
    <row r="704">
      <c r="A704" s="94" t="s">
        <v>1344</v>
      </c>
      <c r="B704" s="86" t="s">
        <v>1238</v>
      </c>
      <c r="C704" s="9">
        <v>43876.0</v>
      </c>
      <c r="D704" s="6" t="s">
        <v>1357</v>
      </c>
      <c r="E704" s="6" t="s">
        <v>1218</v>
      </c>
      <c r="F704" s="11" t="s">
        <v>813</v>
      </c>
      <c r="G704" s="64" t="s">
        <v>1237</v>
      </c>
      <c r="I704" s="13" t="str">
        <f>IFERROR(__xludf.DUMMYFUNCTION("if(isblank(A704),,split(A704,""ー""))"),"27-2")</f>
        <v>27-2</v>
      </c>
      <c r="K704" s="13" t="str">
        <f>IFERROR(__xludf.DUMMYFUNCTION("if(isblank(B704),,split(B704,""ー""))"),"27-34")</f>
        <v>27-34</v>
      </c>
    </row>
    <row r="705">
      <c r="A705" s="94" t="s">
        <v>1344</v>
      </c>
      <c r="B705" s="86" t="s">
        <v>1359</v>
      </c>
      <c r="C705" s="9">
        <v>43876.0</v>
      </c>
      <c r="D705" s="6" t="s">
        <v>1357</v>
      </c>
      <c r="E705" s="6" t="s">
        <v>1218</v>
      </c>
      <c r="F705" s="11" t="s">
        <v>813</v>
      </c>
      <c r="G705" s="64" t="s">
        <v>1237</v>
      </c>
      <c r="I705" s="13" t="str">
        <f>IFERROR(__xludf.DUMMYFUNCTION("if(isblank(A705),,split(A705,""ー""))"),"27-2")</f>
        <v>27-2</v>
      </c>
      <c r="K705" s="13" t="str">
        <f>IFERROR(__xludf.DUMMYFUNCTION("if(isblank(B705),,split(B705,""ー""))"),"27-35")</f>
        <v>27-35</v>
      </c>
    </row>
    <row r="706">
      <c r="A706" s="94" t="s">
        <v>1344</v>
      </c>
      <c r="B706" s="86" t="s">
        <v>1360</v>
      </c>
      <c r="C706" s="9"/>
      <c r="D706" s="6" t="s">
        <v>165</v>
      </c>
      <c r="E706" s="6" t="s">
        <v>1218</v>
      </c>
      <c r="F706" s="6" t="s">
        <v>36</v>
      </c>
      <c r="G706" s="64" t="s">
        <v>1356</v>
      </c>
      <c r="I706" s="13" t="str">
        <f>IFERROR(__xludf.DUMMYFUNCTION("if(isblank(A706),,split(A706,""ー""))"),"27-2")</f>
        <v>27-2</v>
      </c>
      <c r="K706" s="13" t="str">
        <f>IFERROR(__xludf.DUMMYFUNCTION("if(isblank(B706),,split(B706,""ー""))"),"27-4")</f>
        <v>27-4</v>
      </c>
    </row>
    <row r="707">
      <c r="A707" s="94" t="s">
        <v>1344</v>
      </c>
      <c r="B707" s="86" t="s">
        <v>1361</v>
      </c>
      <c r="C707" s="9">
        <v>43876.0</v>
      </c>
      <c r="D707" s="6" t="s">
        <v>1349</v>
      </c>
      <c r="E707" s="6" t="s">
        <v>1218</v>
      </c>
      <c r="F707" s="6" t="s">
        <v>813</v>
      </c>
      <c r="G707" s="64" t="s">
        <v>1256</v>
      </c>
      <c r="I707" s="13" t="str">
        <f>IFERROR(__xludf.DUMMYFUNCTION("if(isblank(A707),,split(A707,""ー""))"),"27-2")</f>
        <v>27-2</v>
      </c>
      <c r="K707" s="13" t="str">
        <f>IFERROR(__xludf.DUMMYFUNCTION("if(isblank(B707),,split(B707,""ー""))"),"27-58")</f>
        <v>27-58</v>
      </c>
    </row>
    <row r="708">
      <c r="A708" s="94" t="s">
        <v>1344</v>
      </c>
      <c r="B708" s="86" t="s">
        <v>1362</v>
      </c>
      <c r="C708" s="9">
        <v>43877.0</v>
      </c>
      <c r="D708" s="6" t="s">
        <v>1363</v>
      </c>
      <c r="E708" s="6" t="s">
        <v>1218</v>
      </c>
      <c r="F708" s="11" t="s">
        <v>813</v>
      </c>
      <c r="G708" s="64" t="s">
        <v>1364</v>
      </c>
      <c r="I708" s="13" t="str">
        <f>IFERROR(__xludf.DUMMYFUNCTION("if(isblank(A708),,split(A708,""ー""))"),"27-2")</f>
        <v>27-2</v>
      </c>
      <c r="K708" s="13" t="str">
        <f>IFERROR(__xludf.DUMMYFUNCTION("if(isblank(B708),,split(B708,""ー""))"),"27-6")</f>
        <v>27-6</v>
      </c>
    </row>
    <row r="709">
      <c r="A709" s="94" t="s">
        <v>1344</v>
      </c>
      <c r="B709" s="86" t="s">
        <v>1365</v>
      </c>
      <c r="C709" s="9">
        <v>43876.0</v>
      </c>
      <c r="D709" s="6" t="s">
        <v>1349</v>
      </c>
      <c r="E709" s="6" t="s">
        <v>1218</v>
      </c>
      <c r="F709" s="11" t="s">
        <v>813</v>
      </c>
      <c r="G709" s="64" t="s">
        <v>1366</v>
      </c>
      <c r="I709" s="13" t="str">
        <f>IFERROR(__xludf.DUMMYFUNCTION("if(isblank(A709),,split(A709,""ー""))"),"27-2")</f>
        <v>27-2</v>
      </c>
      <c r="K709" s="13" t="str">
        <f>IFERROR(__xludf.DUMMYFUNCTION("if(isblank(B709),,split(B709,""ー""))"),"27-8")</f>
        <v>27-8</v>
      </c>
    </row>
    <row r="710">
      <c r="A710" s="94" t="s">
        <v>1344</v>
      </c>
      <c r="B710" s="86" t="s">
        <v>1367</v>
      </c>
      <c r="C710" s="9">
        <v>43876.0</v>
      </c>
      <c r="D710" s="6" t="s">
        <v>1349</v>
      </c>
      <c r="E710" s="6" t="s">
        <v>1218</v>
      </c>
      <c r="F710" s="11" t="s">
        <v>813</v>
      </c>
      <c r="G710" s="64" t="s">
        <v>1232</v>
      </c>
      <c r="I710" s="13" t="str">
        <f>IFERROR(__xludf.DUMMYFUNCTION("if(isblank(A710),,split(A710,""ー""))"),"27-2")</f>
        <v>27-2</v>
      </c>
      <c r="K710" s="13" t="str">
        <f>IFERROR(__xludf.DUMMYFUNCTION("if(isblank(B710),,split(B710,""ー""))"),"27-9")</f>
        <v>27-9</v>
      </c>
    </row>
    <row r="711">
      <c r="A711" s="15" t="s">
        <v>1344</v>
      </c>
      <c r="B711" s="16" t="s">
        <v>812</v>
      </c>
      <c r="C711" s="9">
        <v>43876.0</v>
      </c>
      <c r="D711" s="10" t="s">
        <v>36</v>
      </c>
      <c r="E711" s="10" t="s">
        <v>1218</v>
      </c>
      <c r="F711" s="11" t="s">
        <v>813</v>
      </c>
      <c r="G711" s="12" t="s">
        <v>1368</v>
      </c>
      <c r="I711" s="13" t="str">
        <f>IFERROR(__xludf.DUMMYFUNCTION("if(isblank(A711),,split(A711,""ー""))"),"27-2")</f>
        <v>27-2</v>
      </c>
      <c r="K711" s="13" t="str">
        <f>IFERROR(__xludf.DUMMYFUNCTION("if(isblank(B711),,split(B711,""ー""))"),"39-1")</f>
        <v>39-1</v>
      </c>
    </row>
    <row r="712">
      <c r="A712" s="15" t="s">
        <v>1369</v>
      </c>
      <c r="B712" s="16" t="s">
        <v>353</v>
      </c>
      <c r="C712" s="9"/>
      <c r="D712" s="10" t="s">
        <v>36</v>
      </c>
      <c r="E712" s="10" t="s">
        <v>1218</v>
      </c>
      <c r="F712" s="11" t="s">
        <v>355</v>
      </c>
      <c r="G712" s="68" t="s">
        <v>1254</v>
      </c>
      <c r="I712" s="13" t="str">
        <f>IFERROR(__xludf.DUMMYFUNCTION("if(isblank(A712),,split(A712,""ー""))"),"27-20")</f>
        <v>27-20</v>
      </c>
      <c r="K712" s="13" t="str">
        <f>IFERROR(__xludf.DUMMYFUNCTION("if(isblank(B712),,split(B712,""ー""))"),"20-2")</f>
        <v>20-2</v>
      </c>
    </row>
    <row r="713">
      <c r="A713" s="15" t="s">
        <v>1370</v>
      </c>
      <c r="B713" s="16" t="s">
        <v>1371</v>
      </c>
      <c r="C713" s="9"/>
      <c r="D713" s="6" t="s">
        <v>165</v>
      </c>
      <c r="E713" s="6" t="s">
        <v>1218</v>
      </c>
      <c r="F713" s="6" t="s">
        <v>36</v>
      </c>
      <c r="G713" s="96" t="s">
        <v>1281</v>
      </c>
      <c r="I713" s="13" t="str">
        <f>IFERROR(__xludf.DUMMYFUNCTION("if(isblank(A713),,split(A713,""ー""))"),"27-203")</f>
        <v>27-203</v>
      </c>
      <c r="K713" s="13" t="str">
        <f>IFERROR(__xludf.DUMMYFUNCTION("if(isblank(B713),,split(B713,""ー""))"),"27-204")</f>
        <v>27-204</v>
      </c>
      <c r="Y713" s="4"/>
      <c r="Z713" s="4"/>
    </row>
    <row r="714">
      <c r="A714" s="15" t="s">
        <v>1370</v>
      </c>
      <c r="B714" s="16" t="s">
        <v>1371</v>
      </c>
      <c r="C714" s="9"/>
      <c r="D714" s="10" t="s">
        <v>165</v>
      </c>
      <c r="E714" s="6" t="s">
        <v>1218</v>
      </c>
      <c r="F714" s="6" t="s">
        <v>1372</v>
      </c>
      <c r="G714" s="12" t="s">
        <v>1281</v>
      </c>
      <c r="I714" s="13" t="str">
        <f>IFERROR(__xludf.DUMMYFUNCTION("if(isblank(A714),,split(A714,""ー""))"),"27-203")</f>
        <v>27-203</v>
      </c>
      <c r="K714" s="13" t="str">
        <f>IFERROR(__xludf.DUMMYFUNCTION("if(isblank(B714),,split(B714,""ー""))"),"27-204")</f>
        <v>27-204</v>
      </c>
    </row>
    <row r="715">
      <c r="A715" s="15" t="s">
        <v>1370</v>
      </c>
      <c r="B715" s="16" t="s">
        <v>1373</v>
      </c>
      <c r="C715" s="9"/>
      <c r="D715" s="6" t="s">
        <v>165</v>
      </c>
      <c r="E715" s="10" t="s">
        <v>1218</v>
      </c>
      <c r="F715" s="6" t="s">
        <v>36</v>
      </c>
      <c r="G715" s="96" t="s">
        <v>1260</v>
      </c>
      <c r="I715" s="13" t="str">
        <f>IFERROR(__xludf.DUMMYFUNCTION("if(isblank(A715),,split(A715,""ー""))"),"27-203")</f>
        <v>27-203</v>
      </c>
      <c r="K715" s="13" t="str">
        <f>IFERROR(__xludf.DUMMYFUNCTION("if(isblank(B715),,split(B715,""ー""))"),"27-215")</f>
        <v>27-215</v>
      </c>
    </row>
    <row r="716">
      <c r="A716" s="15" t="s">
        <v>1371</v>
      </c>
      <c r="B716" s="16" t="s">
        <v>1373</v>
      </c>
      <c r="C716" s="9"/>
      <c r="D716" s="6" t="s">
        <v>165</v>
      </c>
      <c r="E716" s="6" t="s">
        <v>1218</v>
      </c>
      <c r="F716" s="6" t="s">
        <v>36</v>
      </c>
      <c r="G716" s="96" t="s">
        <v>1260</v>
      </c>
      <c r="I716" s="13" t="str">
        <f>IFERROR(__xludf.DUMMYFUNCTION("if(isblank(A716),,split(A716,""ー""))"),"27-204")</f>
        <v>27-204</v>
      </c>
      <c r="K716" s="13" t="str">
        <f>IFERROR(__xludf.DUMMYFUNCTION("if(isblank(B716),,split(B716,""ー""))"),"27-215")</f>
        <v>27-215</v>
      </c>
    </row>
    <row r="717">
      <c r="A717" s="15" t="s">
        <v>1374</v>
      </c>
      <c r="B717" s="16" t="s">
        <v>1375</v>
      </c>
      <c r="C717" s="9"/>
      <c r="D717" s="6" t="s">
        <v>36</v>
      </c>
      <c r="E717" s="10" t="s">
        <v>1218</v>
      </c>
      <c r="F717" s="6" t="s">
        <v>36</v>
      </c>
      <c r="G717" s="97" t="s">
        <v>1219</v>
      </c>
      <c r="I717" s="13" t="str">
        <f>IFERROR(__xludf.DUMMYFUNCTION("if(isblank(A717),,split(A717,""ー""))"),"27-205")</f>
        <v>27-205</v>
      </c>
      <c r="K717" s="13" t="str">
        <f>IFERROR(__xludf.DUMMYFUNCTION("if(isblank(B717),,split(B717,""ー""))"),"27-345")</f>
        <v>27-345</v>
      </c>
    </row>
    <row r="718">
      <c r="A718" s="15" t="s">
        <v>1328</v>
      </c>
      <c r="B718" s="16" t="s">
        <v>1329</v>
      </c>
      <c r="C718" s="9"/>
      <c r="D718" s="6" t="s">
        <v>165</v>
      </c>
      <c r="E718" s="10" t="s">
        <v>1218</v>
      </c>
      <c r="F718" s="6" t="s">
        <v>36</v>
      </c>
      <c r="G718" s="96" t="s">
        <v>1260</v>
      </c>
      <c r="I718" s="13" t="str">
        <f>IFERROR(__xludf.DUMMYFUNCTION("if(isblank(A718),,split(A718,""ー""))"),"27-209")</f>
        <v>27-209</v>
      </c>
      <c r="K718" s="13" t="str">
        <f>IFERROR(__xludf.DUMMYFUNCTION("if(isblank(B718),,split(B718,""ー""))"),"27-210")</f>
        <v>27-210</v>
      </c>
    </row>
    <row r="719">
      <c r="A719" s="15" t="s">
        <v>1376</v>
      </c>
      <c r="B719" s="16" t="s">
        <v>353</v>
      </c>
      <c r="C719" s="9"/>
      <c r="D719" s="10" t="s">
        <v>36</v>
      </c>
      <c r="E719" s="10" t="s">
        <v>1218</v>
      </c>
      <c r="F719" s="11" t="s">
        <v>355</v>
      </c>
      <c r="G719" s="68" t="s">
        <v>1254</v>
      </c>
      <c r="I719" s="13" t="str">
        <f>IFERROR(__xludf.DUMMYFUNCTION("if(isblank(A719),,split(A719,""ー""))"),"27-21")</f>
        <v>27-21</v>
      </c>
      <c r="K719" s="13" t="str">
        <f>IFERROR(__xludf.DUMMYFUNCTION("if(isblank(B719),,split(B719,""ー""))"),"20-2")</f>
        <v>20-2</v>
      </c>
    </row>
    <row r="720">
      <c r="A720" s="94" t="s">
        <v>1376</v>
      </c>
      <c r="B720" s="86" t="s">
        <v>1377</v>
      </c>
      <c r="C720" s="9"/>
      <c r="D720" s="6" t="s">
        <v>1378</v>
      </c>
      <c r="E720" s="6" t="s">
        <v>1218</v>
      </c>
      <c r="F720" s="6" t="s">
        <v>36</v>
      </c>
      <c r="G720" s="64" t="s">
        <v>1242</v>
      </c>
      <c r="I720" s="13" t="str">
        <f>IFERROR(__xludf.DUMMYFUNCTION("if(isblank(A720),,split(A720,""ー""))"),"27-21")</f>
        <v>27-21</v>
      </c>
      <c r="K720" s="13" t="str">
        <f>IFERROR(__xludf.DUMMYFUNCTION("if(isblank(B720),,split(B720,""ー""))"),"27-74")</f>
        <v>27-74</v>
      </c>
    </row>
    <row r="721">
      <c r="A721" s="15" t="s">
        <v>1379</v>
      </c>
      <c r="B721" s="16" t="s">
        <v>1380</v>
      </c>
      <c r="C721" s="9"/>
      <c r="D721" s="6" t="s">
        <v>36</v>
      </c>
      <c r="E721" s="10" t="s">
        <v>1218</v>
      </c>
      <c r="F721" s="6" t="s">
        <v>36</v>
      </c>
      <c r="G721" s="96" t="s">
        <v>1287</v>
      </c>
      <c r="I721" s="13" t="str">
        <f>IFERROR(__xludf.DUMMYFUNCTION("if(isblank(A721),,split(A721,""ー""))"),"27-217")</f>
        <v>27-217</v>
      </c>
      <c r="K721" s="13" t="str">
        <f>IFERROR(__xludf.DUMMYFUNCTION("if(isblank(B721),,split(B721,""ー""))"),"27-291")</f>
        <v>27-291</v>
      </c>
      <c r="AA721" s="4"/>
    </row>
    <row r="722">
      <c r="A722" s="15" t="s">
        <v>1381</v>
      </c>
      <c r="B722" s="16" t="s">
        <v>1382</v>
      </c>
      <c r="C722" s="9"/>
      <c r="D722" s="6" t="s">
        <v>36</v>
      </c>
      <c r="E722" s="55" t="s">
        <v>1218</v>
      </c>
      <c r="F722" s="6" t="s">
        <v>36</v>
      </c>
      <c r="G722" s="96" t="s">
        <v>1287</v>
      </c>
      <c r="I722" s="13" t="str">
        <f>IFERROR(__xludf.DUMMYFUNCTION("if(isblank(A722),,split(A722,""ー""))"),"27-218")</f>
        <v>27-218</v>
      </c>
      <c r="K722" s="13" t="str">
        <f>IFERROR(__xludf.DUMMYFUNCTION("if(isblank(B722),,split(B722,""ー""))"),"27-294")</f>
        <v>27-294</v>
      </c>
      <c r="M722" s="4"/>
      <c r="N722" s="4"/>
      <c r="O722" s="4"/>
      <c r="P722" s="4"/>
      <c r="Q722" s="4"/>
      <c r="R722" s="4"/>
      <c r="S722" s="4"/>
      <c r="T722" s="4"/>
      <c r="U722" s="4"/>
      <c r="V722" s="4"/>
      <c r="W722" s="4"/>
      <c r="X722" s="4"/>
    </row>
    <row r="723">
      <c r="A723" s="15" t="s">
        <v>1383</v>
      </c>
      <c r="B723" s="16" t="s">
        <v>1384</v>
      </c>
      <c r="C723" s="9"/>
      <c r="D723" s="6" t="s">
        <v>36</v>
      </c>
      <c r="E723" s="6" t="s">
        <v>1218</v>
      </c>
      <c r="F723" s="6" t="s">
        <v>36</v>
      </c>
      <c r="G723" s="96" t="s">
        <v>1285</v>
      </c>
      <c r="I723" s="13" t="str">
        <f>IFERROR(__xludf.DUMMYFUNCTION("if(isblank(A723),,split(A723,""ー""))"),"27-219")</f>
        <v>27-219</v>
      </c>
      <c r="K723" s="13" t="str">
        <f>IFERROR(__xludf.DUMMYFUNCTION("if(isblank(B723),,split(B723,""ー""))"),"27-220")</f>
        <v>27-220</v>
      </c>
    </row>
    <row r="724">
      <c r="A724" s="15" t="s">
        <v>1385</v>
      </c>
      <c r="B724" s="16" t="s">
        <v>353</v>
      </c>
      <c r="C724" s="9"/>
      <c r="D724" s="10" t="s">
        <v>36</v>
      </c>
      <c r="E724" s="10" t="s">
        <v>1218</v>
      </c>
      <c r="F724" s="11" t="s">
        <v>355</v>
      </c>
      <c r="G724" s="68" t="s">
        <v>1254</v>
      </c>
      <c r="I724" s="13" t="str">
        <f>IFERROR(__xludf.DUMMYFUNCTION("if(isblank(A724),,split(A724,""ー""))"),"27-22")</f>
        <v>27-22</v>
      </c>
      <c r="K724" s="13" t="str">
        <f>IFERROR(__xludf.DUMMYFUNCTION("if(isblank(B724),,split(B724,""ー""))"),"20-2")</f>
        <v>20-2</v>
      </c>
    </row>
    <row r="725">
      <c r="A725" s="15" t="s">
        <v>1386</v>
      </c>
      <c r="B725" s="41" t="s">
        <v>36</v>
      </c>
      <c r="C725" s="9"/>
      <c r="D725" s="6" t="s">
        <v>36</v>
      </c>
      <c r="E725" s="10" t="s">
        <v>1218</v>
      </c>
      <c r="F725" s="6" t="s">
        <v>1387</v>
      </c>
      <c r="G725" s="96" t="s">
        <v>1285</v>
      </c>
      <c r="I725" s="13" t="str">
        <f>IFERROR(__xludf.DUMMYFUNCTION("if(isblank(A725),,split(A725,""ー""))"),"27-222")</f>
        <v>27-222</v>
      </c>
      <c r="K725" s="13" t="str">
        <f>IFERROR(__xludf.DUMMYFUNCTION("if(isblank(B725),,split(B725,""ー""))"),"NA")</f>
        <v>NA</v>
      </c>
      <c r="AA725" s="4"/>
    </row>
    <row r="726">
      <c r="A726" s="15" t="s">
        <v>1388</v>
      </c>
      <c r="B726" s="41" t="s">
        <v>36</v>
      </c>
      <c r="C726" s="9"/>
      <c r="D726" s="6" t="s">
        <v>36</v>
      </c>
      <c r="E726" s="6" t="s">
        <v>1218</v>
      </c>
      <c r="F726" s="6" t="s">
        <v>1387</v>
      </c>
      <c r="G726" s="96" t="s">
        <v>1285</v>
      </c>
      <c r="I726" s="13" t="str">
        <f>IFERROR(__xludf.DUMMYFUNCTION("if(isblank(A726),,split(A726,""ー""))"),"27-223")</f>
        <v>27-223</v>
      </c>
      <c r="K726" s="13" t="str">
        <f>IFERROR(__xludf.DUMMYFUNCTION("if(isblank(B726),,split(B726,""ー""))"),"NA")</f>
        <v>NA</v>
      </c>
    </row>
    <row r="727">
      <c r="A727" s="15" t="s">
        <v>1389</v>
      </c>
      <c r="B727" s="16" t="s">
        <v>1382</v>
      </c>
      <c r="C727" s="9"/>
      <c r="D727" s="6" t="s">
        <v>36</v>
      </c>
      <c r="E727" s="10" t="s">
        <v>1218</v>
      </c>
      <c r="F727" s="6" t="s">
        <v>36</v>
      </c>
      <c r="G727" s="96" t="s">
        <v>1287</v>
      </c>
      <c r="I727" s="13" t="str">
        <f>IFERROR(__xludf.DUMMYFUNCTION("if(isblank(A727),,split(A727,""ー""))"),"27-224")</f>
        <v>27-224</v>
      </c>
      <c r="K727" s="13" t="str">
        <f>IFERROR(__xludf.DUMMYFUNCTION("if(isblank(B727),,split(B727,""ー""))"),"27-294")</f>
        <v>27-294</v>
      </c>
    </row>
    <row r="728">
      <c r="A728" s="15" t="s">
        <v>1296</v>
      </c>
      <c r="B728" s="16" t="s">
        <v>1390</v>
      </c>
      <c r="C728" s="9"/>
      <c r="D728" s="6" t="s">
        <v>36</v>
      </c>
      <c r="E728" s="55" t="s">
        <v>1218</v>
      </c>
      <c r="F728" s="6" t="s">
        <v>36</v>
      </c>
      <c r="G728" s="96" t="s">
        <v>1219</v>
      </c>
      <c r="I728" s="13" t="str">
        <f>IFERROR(__xludf.DUMMYFUNCTION("if(isblank(A728),,split(A728,""ー""))"),"27-227")</f>
        <v>27-227</v>
      </c>
      <c r="K728" s="13" t="str">
        <f>IFERROR(__xludf.DUMMYFUNCTION("if(isblank(B728),,split(B728,""ー""))"),"27-330")</f>
        <v>27-330</v>
      </c>
    </row>
    <row r="729">
      <c r="A729" s="15" t="s">
        <v>1391</v>
      </c>
      <c r="B729" s="16" t="s">
        <v>353</v>
      </c>
      <c r="C729" s="9"/>
      <c r="D729" s="10" t="s">
        <v>36</v>
      </c>
      <c r="E729" s="10" t="s">
        <v>1218</v>
      </c>
      <c r="F729" s="11" t="s">
        <v>355</v>
      </c>
      <c r="G729" s="68" t="s">
        <v>1254</v>
      </c>
      <c r="I729" s="13" t="str">
        <f>IFERROR(__xludf.DUMMYFUNCTION("if(isblank(A729),,split(A729,""ー""))"),"27-23")</f>
        <v>27-23</v>
      </c>
      <c r="K729" s="13" t="str">
        <f>IFERROR(__xludf.DUMMYFUNCTION("if(isblank(B729),,split(B729,""ー""))"),"20-2")</f>
        <v>20-2</v>
      </c>
    </row>
    <row r="730">
      <c r="A730" s="15" t="s">
        <v>1392</v>
      </c>
      <c r="B730" s="41" t="s">
        <v>36</v>
      </c>
      <c r="C730" s="9"/>
      <c r="D730" s="6" t="s">
        <v>1393</v>
      </c>
      <c r="E730" s="10" t="s">
        <v>1218</v>
      </c>
      <c r="F730" s="6" t="s">
        <v>1387</v>
      </c>
      <c r="G730" s="96" t="s">
        <v>1285</v>
      </c>
      <c r="I730" s="13" t="str">
        <f>IFERROR(__xludf.DUMMYFUNCTION("if(isblank(A730),,split(A730,""ー""))"),"27-230")</f>
        <v>27-230</v>
      </c>
      <c r="K730" s="13" t="str">
        <f>IFERROR(__xludf.DUMMYFUNCTION("if(isblank(B730),,split(B730,""ー""))"),"NA")</f>
        <v>NA</v>
      </c>
    </row>
    <row r="731">
      <c r="A731" s="15" t="s">
        <v>1312</v>
      </c>
      <c r="B731" s="16" t="s">
        <v>1394</v>
      </c>
      <c r="C731" s="9"/>
      <c r="D731" s="6" t="s">
        <v>165</v>
      </c>
      <c r="E731" s="55" t="s">
        <v>1218</v>
      </c>
      <c r="F731" s="6" t="s">
        <v>36</v>
      </c>
      <c r="G731" s="96" t="s">
        <v>1219</v>
      </c>
      <c r="I731" s="13" t="str">
        <f>IFERROR(__xludf.DUMMYFUNCTION("if(isblank(A731),,split(A731,""ー""))"),"27-231")</f>
        <v>27-231</v>
      </c>
      <c r="K731" s="13" t="str">
        <f>IFERROR(__xludf.DUMMYFUNCTION("if(isblank(B731),,split(B731,""ー""))"),"27-314")</f>
        <v>27-314</v>
      </c>
    </row>
    <row r="732">
      <c r="A732" s="15" t="s">
        <v>1313</v>
      </c>
      <c r="B732" s="16" t="s">
        <v>1395</v>
      </c>
      <c r="C732" s="13"/>
      <c r="D732" s="6" t="s">
        <v>36</v>
      </c>
      <c r="E732" s="10" t="s">
        <v>1218</v>
      </c>
      <c r="F732" s="6" t="s">
        <v>36</v>
      </c>
      <c r="G732" s="44" t="s">
        <v>1396</v>
      </c>
      <c r="I732" s="13" t="str">
        <f>IFERROR(__xludf.DUMMYFUNCTION("if(isblank(A732),,split(A732,""ー""))"),"27-232")</f>
        <v>27-232</v>
      </c>
      <c r="K732" s="13" t="str">
        <f>IFERROR(__xludf.DUMMYFUNCTION("if(isblank(B732),,split(B732,""ー""))"),"27-447")</f>
        <v>27-447</v>
      </c>
    </row>
    <row r="733">
      <c r="A733" s="15" t="s">
        <v>1397</v>
      </c>
      <c r="B733" s="16" t="s">
        <v>1398</v>
      </c>
      <c r="C733" s="9"/>
      <c r="D733" s="6" t="s">
        <v>165</v>
      </c>
      <c r="E733" s="10" t="s">
        <v>1218</v>
      </c>
      <c r="F733" s="6" t="s">
        <v>36</v>
      </c>
      <c r="G733" s="96" t="s">
        <v>1285</v>
      </c>
      <c r="I733" s="13" t="str">
        <f>IFERROR(__xludf.DUMMYFUNCTION("if(isblank(A733),,split(A733,""ー""))"),"27-235")</f>
        <v>27-235</v>
      </c>
      <c r="K733" s="13" t="str">
        <f>IFERROR(__xludf.DUMMYFUNCTION("if(isblank(B733),,split(B733,""ー""))"),"27-236")</f>
        <v>27-236</v>
      </c>
    </row>
    <row r="734">
      <c r="A734" s="15" t="s">
        <v>1397</v>
      </c>
      <c r="B734" s="16" t="s">
        <v>1399</v>
      </c>
      <c r="C734" s="9"/>
      <c r="D734" s="6" t="s">
        <v>30</v>
      </c>
      <c r="E734" s="10" t="s">
        <v>1218</v>
      </c>
      <c r="F734" s="6" t="s">
        <v>36</v>
      </c>
      <c r="G734" s="96" t="s">
        <v>1287</v>
      </c>
      <c r="I734" s="13" t="str">
        <f>IFERROR(__xludf.DUMMYFUNCTION("if(isblank(A734),,split(A734,""ー""))"),"27-235")</f>
        <v>27-235</v>
      </c>
      <c r="K734" s="13" t="str">
        <f>IFERROR(__xludf.DUMMYFUNCTION("if(isblank(B734),,split(B734,""ー""))"),"27-297")</f>
        <v>27-297</v>
      </c>
    </row>
    <row r="735">
      <c r="A735" s="15" t="s">
        <v>1400</v>
      </c>
      <c r="B735" s="16" t="s">
        <v>1401</v>
      </c>
      <c r="C735" s="9"/>
      <c r="D735" s="6" t="s">
        <v>165</v>
      </c>
      <c r="E735" s="55" t="s">
        <v>1218</v>
      </c>
      <c r="F735" s="6" t="s">
        <v>36</v>
      </c>
      <c r="G735" s="96" t="s">
        <v>1287</v>
      </c>
      <c r="I735" s="13" t="str">
        <f>IFERROR(__xludf.DUMMYFUNCTION("if(isblank(A735),,split(A735,""ー""))"),"27-238")</f>
        <v>27-238</v>
      </c>
      <c r="K735" s="13" t="str">
        <f>IFERROR(__xludf.DUMMYFUNCTION("if(isblank(B735),,split(B735,""ー""))"),"27-295")</f>
        <v>27-295</v>
      </c>
    </row>
    <row r="736">
      <c r="A736" s="15" t="s">
        <v>1400</v>
      </c>
      <c r="B736" s="41" t="s">
        <v>36</v>
      </c>
      <c r="C736" s="9"/>
      <c r="D736" s="6" t="s">
        <v>1402</v>
      </c>
      <c r="E736" s="6" t="s">
        <v>1218</v>
      </c>
      <c r="F736" s="6" t="s">
        <v>36</v>
      </c>
      <c r="G736" s="96" t="s">
        <v>1285</v>
      </c>
      <c r="I736" s="13" t="str">
        <f>IFERROR(__xludf.DUMMYFUNCTION("if(isblank(A736),,split(A736,""ー""))"),"27-238")</f>
        <v>27-238</v>
      </c>
      <c r="K736" s="13" t="str">
        <f>IFERROR(__xludf.DUMMYFUNCTION("if(isblank(B736),,split(B736,""ー""))"),"NA")</f>
        <v>NA</v>
      </c>
    </row>
    <row r="737">
      <c r="A737" s="94" t="s">
        <v>1288</v>
      </c>
      <c r="B737" s="86" t="s">
        <v>1403</v>
      </c>
      <c r="C737" s="9"/>
      <c r="D737" s="6" t="s">
        <v>308</v>
      </c>
      <c r="E737" s="6" t="s">
        <v>1218</v>
      </c>
      <c r="F737" s="6" t="s">
        <v>36</v>
      </c>
      <c r="G737" s="64" t="s">
        <v>1254</v>
      </c>
      <c r="I737" s="13" t="str">
        <f>IFERROR(__xludf.DUMMYFUNCTION("if(isblank(A737),,split(A737,""ー""))"),"27-24")</f>
        <v>27-24</v>
      </c>
      <c r="K737" s="13" t="str">
        <f>IFERROR(__xludf.DUMMYFUNCTION("if(isblank(B737),,split(B737,""ー""))"),"27-25")</f>
        <v>27-25</v>
      </c>
    </row>
    <row r="738">
      <c r="A738" s="15" t="s">
        <v>1404</v>
      </c>
      <c r="B738" s="41" t="s">
        <v>36</v>
      </c>
      <c r="C738" s="9"/>
      <c r="D738" s="6" t="s">
        <v>36</v>
      </c>
      <c r="E738" s="10" t="s">
        <v>1218</v>
      </c>
      <c r="F738" s="6" t="s">
        <v>1387</v>
      </c>
      <c r="G738" s="96" t="s">
        <v>1285</v>
      </c>
      <c r="I738" s="13" t="str">
        <f>IFERROR(__xludf.DUMMYFUNCTION("if(isblank(A738),,split(A738,""ー""))"),"27-240")</f>
        <v>27-240</v>
      </c>
      <c r="K738" s="13" t="str">
        <f>IFERROR(__xludf.DUMMYFUNCTION("if(isblank(B738),,split(B738,""ー""))"),"NA")</f>
        <v>NA</v>
      </c>
    </row>
    <row r="739">
      <c r="A739" s="15" t="s">
        <v>1405</v>
      </c>
      <c r="B739" s="16" t="s">
        <v>1406</v>
      </c>
      <c r="C739" s="9"/>
      <c r="D739" s="6" t="s">
        <v>165</v>
      </c>
      <c r="E739" s="55" t="s">
        <v>1218</v>
      </c>
      <c r="F739" s="6" t="s">
        <v>36</v>
      </c>
      <c r="G739" s="96" t="s">
        <v>1285</v>
      </c>
      <c r="I739" s="13" t="str">
        <f>IFERROR(__xludf.DUMMYFUNCTION("if(isblank(A739),,split(A739,""ー""))"),"27-241")</f>
        <v>27-241</v>
      </c>
      <c r="K739" s="13" t="str">
        <f>IFERROR(__xludf.DUMMYFUNCTION("if(isblank(B739),,split(B739,""ー""))"),"27-242")</f>
        <v>27-242</v>
      </c>
    </row>
    <row r="740">
      <c r="A740" s="15" t="s">
        <v>1405</v>
      </c>
      <c r="B740" s="16" t="s">
        <v>1407</v>
      </c>
      <c r="C740" s="9"/>
      <c r="D740" s="6" t="s">
        <v>36</v>
      </c>
      <c r="E740" s="55" t="s">
        <v>1218</v>
      </c>
      <c r="F740" s="6" t="s">
        <v>36</v>
      </c>
      <c r="G740" s="96" t="s">
        <v>1287</v>
      </c>
      <c r="I740" s="13" t="str">
        <f>IFERROR(__xludf.DUMMYFUNCTION("if(isblank(A740),,split(A740,""ー""))"),"27-241")</f>
        <v>27-241</v>
      </c>
      <c r="K740" s="13" t="str">
        <f>IFERROR(__xludf.DUMMYFUNCTION("if(isblank(B740),,split(B740,""ー""))"),"27-298")</f>
        <v>27-298</v>
      </c>
    </row>
    <row r="741">
      <c r="A741" s="15" t="s">
        <v>1405</v>
      </c>
      <c r="B741" s="16" t="s">
        <v>1408</v>
      </c>
      <c r="C741" s="9"/>
      <c r="D741" s="6" t="s">
        <v>165</v>
      </c>
      <c r="E741" s="10" t="s">
        <v>1218</v>
      </c>
      <c r="F741" s="6" t="s">
        <v>36</v>
      </c>
      <c r="G741" s="96" t="s">
        <v>1219</v>
      </c>
      <c r="I741" s="13" t="str">
        <f>IFERROR(__xludf.DUMMYFUNCTION("if(isblank(A741),,split(A741,""ー""))"),"27-241")</f>
        <v>27-241</v>
      </c>
      <c r="K741" s="13" t="str">
        <f>IFERROR(__xludf.DUMMYFUNCTION("if(isblank(B741),,split(B741,""ー""))"),"27-338")</f>
        <v>27-338</v>
      </c>
    </row>
    <row r="742">
      <c r="A742" s="15" t="s">
        <v>1405</v>
      </c>
      <c r="B742" s="41" t="s">
        <v>36</v>
      </c>
      <c r="C742" s="9"/>
      <c r="D742" s="98" t="s">
        <v>36</v>
      </c>
      <c r="E742" s="55" t="s">
        <v>1218</v>
      </c>
      <c r="F742" s="99" t="s">
        <v>1387</v>
      </c>
      <c r="G742" s="96" t="s">
        <v>1285</v>
      </c>
      <c r="I742" s="13" t="str">
        <f>IFERROR(__xludf.DUMMYFUNCTION("if(isblank(A742),,split(A742,""ー""))"),"27-241")</f>
        <v>27-241</v>
      </c>
      <c r="K742" s="13" t="str">
        <f>IFERROR(__xludf.DUMMYFUNCTION("if(isblank(B742),,split(B742,""ー""))"),"NA")</f>
        <v>NA</v>
      </c>
    </row>
    <row r="743">
      <c r="A743" s="15" t="s">
        <v>1406</v>
      </c>
      <c r="B743" s="16" t="s">
        <v>1408</v>
      </c>
      <c r="C743" s="9"/>
      <c r="D743" s="6" t="s">
        <v>165</v>
      </c>
      <c r="E743" s="55" t="s">
        <v>1218</v>
      </c>
      <c r="F743" s="6" t="s">
        <v>36</v>
      </c>
      <c r="G743" s="96" t="s">
        <v>1219</v>
      </c>
      <c r="I743" s="13" t="str">
        <f>IFERROR(__xludf.DUMMYFUNCTION("if(isblank(A743),,split(A743,""ー""))"),"27-242")</f>
        <v>27-242</v>
      </c>
      <c r="K743" s="13" t="str">
        <f>IFERROR(__xludf.DUMMYFUNCTION("if(isblank(B743),,split(B743,""ー""))"),"27-338")</f>
        <v>27-338</v>
      </c>
    </row>
    <row r="744">
      <c r="A744" s="15" t="s">
        <v>1409</v>
      </c>
      <c r="B744" s="41" t="s">
        <v>36</v>
      </c>
      <c r="C744" s="9"/>
      <c r="D744" s="6" t="s">
        <v>36</v>
      </c>
      <c r="E744" s="10" t="s">
        <v>1218</v>
      </c>
      <c r="F744" s="6" t="s">
        <v>36</v>
      </c>
      <c r="G744" s="96" t="s">
        <v>1285</v>
      </c>
      <c r="I744" s="13" t="str">
        <f>IFERROR(__xludf.DUMMYFUNCTION("if(isblank(A744),,split(A744,""ー""))"),"27-244")</f>
        <v>27-244</v>
      </c>
      <c r="K744" s="13" t="str">
        <f>IFERROR(__xludf.DUMMYFUNCTION("if(isblank(B744),,split(B744,""ー""))"),"NA")</f>
        <v>NA</v>
      </c>
    </row>
    <row r="745">
      <c r="A745" s="15" t="s">
        <v>1410</v>
      </c>
      <c r="B745" s="16" t="s">
        <v>1411</v>
      </c>
      <c r="C745" s="13"/>
      <c r="D745" s="6" t="s">
        <v>36</v>
      </c>
      <c r="E745" s="10" t="s">
        <v>1218</v>
      </c>
      <c r="F745" s="6" t="s">
        <v>36</v>
      </c>
      <c r="G745" s="44" t="s">
        <v>1396</v>
      </c>
      <c r="I745" s="13" t="str">
        <f>IFERROR(__xludf.DUMMYFUNCTION("if(isblank(A745),,split(A745,""ー""))"),"27-246")</f>
        <v>27-246</v>
      </c>
      <c r="K745" s="13" t="str">
        <f>IFERROR(__xludf.DUMMYFUNCTION("if(isblank(B745),,split(B745,""ー""))"),"27-437")</f>
        <v>27-437</v>
      </c>
    </row>
    <row r="746">
      <c r="A746" s="15" t="s">
        <v>1410</v>
      </c>
      <c r="B746" s="16" t="s">
        <v>1412</v>
      </c>
      <c r="C746" s="13"/>
      <c r="D746" s="6" t="s">
        <v>36</v>
      </c>
      <c r="E746" s="10" t="s">
        <v>1218</v>
      </c>
      <c r="F746" s="6" t="s">
        <v>36</v>
      </c>
      <c r="G746" s="44" t="s">
        <v>1396</v>
      </c>
      <c r="I746" s="13" t="str">
        <f>IFERROR(__xludf.DUMMYFUNCTION("if(isblank(A746),,split(A746,""ー""))"),"27-246")</f>
        <v>27-246</v>
      </c>
      <c r="K746" s="13" t="str">
        <f>IFERROR(__xludf.DUMMYFUNCTION("if(isblank(B746),,split(B746,""ー""))"),"27-438")</f>
        <v>27-438</v>
      </c>
    </row>
    <row r="747">
      <c r="A747" s="15" t="s">
        <v>1410</v>
      </c>
      <c r="B747" s="16" t="s">
        <v>1413</v>
      </c>
      <c r="C747" s="13"/>
      <c r="D747" s="6" t="s">
        <v>165</v>
      </c>
      <c r="E747" s="55" t="s">
        <v>1218</v>
      </c>
      <c r="F747" s="6" t="s">
        <v>36</v>
      </c>
      <c r="G747" s="44" t="s">
        <v>1396</v>
      </c>
      <c r="I747" s="13" t="str">
        <f>IFERROR(__xludf.DUMMYFUNCTION("if(isblank(A747),,split(A747,""ー""))"),"27-246")</f>
        <v>27-246</v>
      </c>
      <c r="K747" s="13" t="str">
        <f>IFERROR(__xludf.DUMMYFUNCTION("if(isblank(B747),,split(B747,""ー""))"),"27-449")</f>
        <v>27-449</v>
      </c>
    </row>
    <row r="748">
      <c r="A748" s="15" t="s">
        <v>1414</v>
      </c>
      <c r="B748" s="16" t="s">
        <v>353</v>
      </c>
      <c r="C748" s="9"/>
      <c r="D748" s="10" t="s">
        <v>36</v>
      </c>
      <c r="E748" s="10" t="s">
        <v>1218</v>
      </c>
      <c r="F748" s="11" t="s">
        <v>355</v>
      </c>
      <c r="G748" s="68" t="s">
        <v>1254</v>
      </c>
      <c r="I748" s="13" t="str">
        <f>IFERROR(__xludf.DUMMYFUNCTION("if(isblank(A748),,split(A748,""ー""))"),"27-26")</f>
        <v>27-26</v>
      </c>
      <c r="K748" s="13" t="str">
        <f>IFERROR(__xludf.DUMMYFUNCTION("if(isblank(B748),,split(B748,""ー""))"),"20-2")</f>
        <v>20-2</v>
      </c>
    </row>
    <row r="749">
      <c r="A749" s="15" t="s">
        <v>1354</v>
      </c>
      <c r="B749" s="16" t="s">
        <v>353</v>
      </c>
      <c r="C749" s="9"/>
      <c r="D749" s="10" t="s">
        <v>36</v>
      </c>
      <c r="E749" s="10" t="s">
        <v>1218</v>
      </c>
      <c r="F749" s="11" t="s">
        <v>355</v>
      </c>
      <c r="G749" s="68" t="s">
        <v>1254</v>
      </c>
      <c r="I749" s="13" t="str">
        <f>IFERROR(__xludf.DUMMYFUNCTION("if(isblank(A749),,split(A749,""ー""))"),"27-27")</f>
        <v>27-27</v>
      </c>
      <c r="K749" s="13" t="str">
        <f>IFERROR(__xludf.DUMMYFUNCTION("if(isblank(B749),,split(B749,""ー""))"),"20-2")</f>
        <v>20-2</v>
      </c>
    </row>
    <row r="750">
      <c r="A750" s="15" t="s">
        <v>1415</v>
      </c>
      <c r="B750" s="16" t="s">
        <v>1416</v>
      </c>
      <c r="C750" s="9"/>
      <c r="D750" s="6" t="s">
        <v>1247</v>
      </c>
      <c r="E750" s="55" t="s">
        <v>1218</v>
      </c>
      <c r="F750" s="6" t="s">
        <v>36</v>
      </c>
      <c r="G750" s="96" t="s">
        <v>1287</v>
      </c>
      <c r="I750" s="13" t="str">
        <f>IFERROR(__xludf.DUMMYFUNCTION("if(isblank(A750),,split(A750,""ー""))"),"27-271")</f>
        <v>27-271</v>
      </c>
      <c r="K750" s="13" t="str">
        <f>IFERROR(__xludf.DUMMYFUNCTION("if(isblank(B750),,split(B750,""ー""))"),"27-288")</f>
        <v>27-288</v>
      </c>
    </row>
    <row r="751">
      <c r="A751" s="15" t="s">
        <v>1417</v>
      </c>
      <c r="B751" s="16" t="s">
        <v>1418</v>
      </c>
      <c r="C751" s="9"/>
      <c r="D751" s="6" t="s">
        <v>165</v>
      </c>
      <c r="E751" s="10" t="s">
        <v>1218</v>
      </c>
      <c r="F751" s="6" t="s">
        <v>36</v>
      </c>
      <c r="G751" s="96" t="s">
        <v>1245</v>
      </c>
      <c r="I751" s="13" t="str">
        <f>IFERROR(__xludf.DUMMYFUNCTION("if(isblank(A751),,split(A751,""ー""))"),"27-272")</f>
        <v>27-272</v>
      </c>
      <c r="K751" s="13" t="str">
        <f>IFERROR(__xludf.DUMMYFUNCTION("if(isblank(B751),,split(B751,""ー""))"),"27-273")</f>
        <v>27-273</v>
      </c>
    </row>
    <row r="752">
      <c r="A752" s="15" t="s">
        <v>1417</v>
      </c>
      <c r="B752" s="16" t="s">
        <v>1419</v>
      </c>
      <c r="C752" s="13"/>
      <c r="D752" s="6" t="s">
        <v>36</v>
      </c>
      <c r="E752" s="10" t="s">
        <v>1218</v>
      </c>
      <c r="F752" s="6" t="s">
        <v>36</v>
      </c>
      <c r="G752" s="44" t="s">
        <v>1396</v>
      </c>
      <c r="I752" s="13" t="str">
        <f>IFERROR(__xludf.DUMMYFUNCTION("if(isblank(A752),,split(A752,""ー""))"),"27-272")</f>
        <v>27-272</v>
      </c>
      <c r="K752" s="13" t="str">
        <f>IFERROR(__xludf.DUMMYFUNCTION("if(isblank(B752),,split(B752,""ー""))"),"27-443")</f>
        <v>27-443</v>
      </c>
    </row>
    <row r="753">
      <c r="A753" s="15" t="s">
        <v>1417</v>
      </c>
      <c r="B753" s="16" t="s">
        <v>1420</v>
      </c>
      <c r="C753" s="13"/>
      <c r="D753" s="6" t="s">
        <v>36</v>
      </c>
      <c r="E753" s="55" t="s">
        <v>1218</v>
      </c>
      <c r="F753" s="6" t="s">
        <v>36</v>
      </c>
      <c r="G753" s="44" t="s">
        <v>1396</v>
      </c>
      <c r="I753" s="13" t="str">
        <f>IFERROR(__xludf.DUMMYFUNCTION("if(isblank(A753),,split(A753,""ー""))"),"27-272")</f>
        <v>27-272</v>
      </c>
      <c r="K753" s="13" t="str">
        <f>IFERROR(__xludf.DUMMYFUNCTION("if(isblank(B753),,split(B753,""ー""))"),"27-444")</f>
        <v>27-444</v>
      </c>
    </row>
    <row r="754">
      <c r="A754" s="15" t="s">
        <v>1421</v>
      </c>
      <c r="B754" s="16" t="s">
        <v>353</v>
      </c>
      <c r="C754" s="9"/>
      <c r="D754" s="10" t="s">
        <v>36</v>
      </c>
      <c r="E754" s="10" t="s">
        <v>1218</v>
      </c>
      <c r="F754" s="11" t="s">
        <v>355</v>
      </c>
      <c r="G754" s="68" t="s">
        <v>1254</v>
      </c>
      <c r="I754" s="13" t="str">
        <f>IFERROR(__xludf.DUMMYFUNCTION("if(isblank(A754),,split(A754,""ー""))"),"27-28")</f>
        <v>27-28</v>
      </c>
      <c r="K754" s="13" t="str">
        <f>IFERROR(__xludf.DUMMYFUNCTION("if(isblank(B754),,split(B754,""ー""))"),"20-2")</f>
        <v>20-2</v>
      </c>
    </row>
    <row r="755">
      <c r="A755" s="15" t="s">
        <v>1422</v>
      </c>
      <c r="B755" s="16" t="s">
        <v>1423</v>
      </c>
      <c r="C755" s="13"/>
      <c r="D755" s="6" t="s">
        <v>36</v>
      </c>
      <c r="E755" s="10" t="s">
        <v>1218</v>
      </c>
      <c r="F755" s="6" t="s">
        <v>36</v>
      </c>
      <c r="G755" s="44" t="s">
        <v>1424</v>
      </c>
      <c r="I755" s="13" t="str">
        <f>IFERROR(__xludf.DUMMYFUNCTION("if(isblank(A755),,split(A755,""ー""))"),"27-281")</f>
        <v>27-281</v>
      </c>
      <c r="K755" s="13" t="str">
        <f>IFERROR(__xludf.DUMMYFUNCTION("if(isblank(B755),,split(B755,""ー""))"),"27-372")</f>
        <v>27-372</v>
      </c>
    </row>
    <row r="756">
      <c r="A756" s="15" t="s">
        <v>1425</v>
      </c>
      <c r="B756" s="16" t="s">
        <v>353</v>
      </c>
      <c r="C756" s="9"/>
      <c r="D756" s="10" t="s">
        <v>36</v>
      </c>
      <c r="E756" s="10" t="s">
        <v>1218</v>
      </c>
      <c r="F756" s="11" t="s">
        <v>355</v>
      </c>
      <c r="G756" s="68" t="s">
        <v>1254</v>
      </c>
      <c r="I756" s="13" t="str">
        <f>IFERROR(__xludf.DUMMYFUNCTION("if(isblank(A756),,split(A756,""ー""))"),"27-29")</f>
        <v>27-29</v>
      </c>
      <c r="K756" s="13" t="str">
        <f>IFERROR(__xludf.DUMMYFUNCTION("if(isblank(B756),,split(B756,""ー""))"),"20-2")</f>
        <v>20-2</v>
      </c>
    </row>
    <row r="757">
      <c r="A757" s="15" t="s">
        <v>1426</v>
      </c>
      <c r="B757" s="16" t="s">
        <v>1427</v>
      </c>
      <c r="C757" s="13"/>
      <c r="D757" s="6" t="s">
        <v>165</v>
      </c>
      <c r="E757" s="55" t="s">
        <v>1218</v>
      </c>
      <c r="F757" s="6" t="s">
        <v>36</v>
      </c>
      <c r="G757" s="44" t="s">
        <v>1424</v>
      </c>
      <c r="I757" s="13" t="str">
        <f>IFERROR(__xludf.DUMMYFUNCTION("if(isblank(A757),,split(A757,""ー""))"),"27-290")</f>
        <v>27-290</v>
      </c>
      <c r="K757" s="13" t="str">
        <f>IFERROR(__xludf.DUMMYFUNCTION("if(isblank(B757),,split(B757,""ー""))"),"27-357")</f>
        <v>27-357</v>
      </c>
    </row>
    <row r="758">
      <c r="A758" s="15" t="s">
        <v>1428</v>
      </c>
      <c r="B758" s="16" t="s">
        <v>1429</v>
      </c>
      <c r="C758" s="13"/>
      <c r="D758" s="6" t="s">
        <v>36</v>
      </c>
      <c r="E758" s="10" t="s">
        <v>1218</v>
      </c>
      <c r="F758" s="6" t="s">
        <v>36</v>
      </c>
      <c r="G758" s="44" t="s">
        <v>1430</v>
      </c>
      <c r="I758" s="13" t="str">
        <f>IFERROR(__xludf.DUMMYFUNCTION("if(isblank(A758),,split(A758,""ー""))"),"27-292")</f>
        <v>27-292</v>
      </c>
      <c r="K758" s="13" t="str">
        <f>IFERROR(__xludf.DUMMYFUNCTION("if(isblank(B758),,split(B758,""ー""))"),"27-416")</f>
        <v>27-416</v>
      </c>
    </row>
    <row r="759">
      <c r="A759" s="15" t="s">
        <v>1431</v>
      </c>
      <c r="B759" s="16" t="s">
        <v>1432</v>
      </c>
      <c r="C759" s="9"/>
      <c r="D759" s="6" t="s">
        <v>165</v>
      </c>
      <c r="E759" s="55" t="s">
        <v>1218</v>
      </c>
      <c r="F759" s="6" t="s">
        <v>36</v>
      </c>
      <c r="G759" s="96" t="s">
        <v>1219</v>
      </c>
      <c r="I759" s="13" t="str">
        <f>IFERROR(__xludf.DUMMYFUNCTION("if(isblank(A759),,split(A759,""ー""))"),"27-299")</f>
        <v>27-299</v>
      </c>
      <c r="K759" s="13" t="str">
        <f>IFERROR(__xludf.DUMMYFUNCTION("if(isblank(B759),,split(B759,""ー""))"),"27-342")</f>
        <v>27-342</v>
      </c>
    </row>
    <row r="760">
      <c r="A760" s="94" t="s">
        <v>1355</v>
      </c>
      <c r="B760" s="86" t="s">
        <v>1433</v>
      </c>
      <c r="C760" s="9"/>
      <c r="D760" s="6" t="s">
        <v>1434</v>
      </c>
      <c r="E760" s="6" t="s">
        <v>1218</v>
      </c>
      <c r="F760" s="6" t="s">
        <v>1435</v>
      </c>
      <c r="G760" s="64" t="s">
        <v>1232</v>
      </c>
      <c r="I760" s="13" t="str">
        <f>IFERROR(__xludf.DUMMYFUNCTION("if(isblank(A760),,split(A760,""ー""))"),"27-3")</f>
        <v>27-3</v>
      </c>
      <c r="K760" s="13" t="str">
        <f>IFERROR(__xludf.DUMMYFUNCTION("if(isblank(B760),,split(B760,""ー""))"),"27-11")</f>
        <v>27-11</v>
      </c>
    </row>
    <row r="761">
      <c r="A761" s="15" t="s">
        <v>1436</v>
      </c>
      <c r="B761" s="16" t="s">
        <v>1437</v>
      </c>
      <c r="C761" s="13"/>
      <c r="D761" s="6" t="s">
        <v>36</v>
      </c>
      <c r="E761" s="10" t="s">
        <v>1218</v>
      </c>
      <c r="F761" s="6" t="s">
        <v>36</v>
      </c>
      <c r="G761" s="44" t="s">
        <v>1424</v>
      </c>
      <c r="I761" s="13" t="str">
        <f>IFERROR(__xludf.DUMMYFUNCTION("if(isblank(A761),,split(A761,""ー""))"),"27-300")</f>
        <v>27-300</v>
      </c>
      <c r="K761" s="13" t="str">
        <f>IFERROR(__xludf.DUMMYFUNCTION("if(isblank(B761),,split(B761,""ー""))"),"27-380")</f>
        <v>27-380</v>
      </c>
    </row>
    <row r="762">
      <c r="A762" s="15" t="s">
        <v>1438</v>
      </c>
      <c r="B762" s="16" t="s">
        <v>1439</v>
      </c>
      <c r="C762" s="13"/>
      <c r="D762" s="6" t="s">
        <v>165</v>
      </c>
      <c r="E762" s="10" t="s">
        <v>1218</v>
      </c>
      <c r="F762" s="6" t="s">
        <v>36</v>
      </c>
      <c r="G762" s="49" t="s">
        <v>1424</v>
      </c>
      <c r="I762" s="13" t="str">
        <f>IFERROR(__xludf.DUMMYFUNCTION("if(isblank(A762),,split(A762,""ー""))"),"27-302")</f>
        <v>27-302</v>
      </c>
      <c r="K762" s="13" t="str">
        <f>IFERROR(__xludf.DUMMYFUNCTION("if(isblank(B762),,split(B762,""ー""))"),"27-381")</f>
        <v>27-381</v>
      </c>
    </row>
    <row r="763">
      <c r="A763" s="15" t="s">
        <v>1438</v>
      </c>
      <c r="B763" s="16" t="s">
        <v>1440</v>
      </c>
      <c r="C763" s="9"/>
      <c r="D763" s="6" t="s">
        <v>36</v>
      </c>
      <c r="E763" s="10" t="s">
        <v>1218</v>
      </c>
      <c r="F763" s="6" t="s">
        <v>36</v>
      </c>
      <c r="G763" s="96" t="s">
        <v>1287</v>
      </c>
      <c r="I763" s="13" t="str">
        <f>IFERROR(__xludf.DUMMYFUNCTION("if(isblank(A763),,split(A763,""ー""))"),"27-302")</f>
        <v>27-302</v>
      </c>
      <c r="K763" s="13" t="str">
        <f>IFERROR(__xludf.DUMMYFUNCTION("if(isblank(B763),,split(B763,""ー""))"),"28-161")</f>
        <v>28-161</v>
      </c>
    </row>
    <row r="764">
      <c r="A764" s="15" t="s">
        <v>1441</v>
      </c>
      <c r="B764" s="16" t="s">
        <v>1442</v>
      </c>
      <c r="C764" s="13"/>
      <c r="D764" s="6" t="s">
        <v>165</v>
      </c>
      <c r="E764" s="55" t="s">
        <v>1218</v>
      </c>
      <c r="F764" s="6" t="s">
        <v>36</v>
      </c>
      <c r="G764" s="44" t="s">
        <v>1424</v>
      </c>
      <c r="I764" s="13" t="str">
        <f>IFERROR(__xludf.DUMMYFUNCTION("if(isblank(A764),,split(A764,""ー""))"),"27-308")</f>
        <v>27-308</v>
      </c>
      <c r="K764" s="13" t="str">
        <f>IFERROR(__xludf.DUMMYFUNCTION("if(isblank(B764),,split(B764,""ー""))"),"27-386")</f>
        <v>27-386</v>
      </c>
    </row>
    <row r="765">
      <c r="A765" s="15" t="s">
        <v>1443</v>
      </c>
      <c r="B765" s="16" t="s">
        <v>1444</v>
      </c>
      <c r="C765" s="13"/>
      <c r="D765" s="6" t="s">
        <v>36</v>
      </c>
      <c r="E765" s="10" t="s">
        <v>1218</v>
      </c>
      <c r="F765" s="6" t="s">
        <v>36</v>
      </c>
      <c r="G765" s="44" t="s">
        <v>1424</v>
      </c>
      <c r="I765" s="13" t="str">
        <f>IFERROR(__xludf.DUMMYFUNCTION("if(isblank(A765),,split(A765,""ー""))"),"27-311")</f>
        <v>27-311</v>
      </c>
      <c r="K765" s="13" t="str">
        <f>IFERROR(__xludf.DUMMYFUNCTION("if(isblank(B765),,split(B765,""ー""))"),"27-368")</f>
        <v>27-368</v>
      </c>
    </row>
    <row r="766">
      <c r="A766" s="15" t="s">
        <v>1443</v>
      </c>
      <c r="B766" s="16" t="s">
        <v>1445</v>
      </c>
      <c r="C766" s="13"/>
      <c r="D766" s="6" t="s">
        <v>165</v>
      </c>
      <c r="E766" s="55" t="s">
        <v>1218</v>
      </c>
      <c r="F766" s="6" t="s">
        <v>36</v>
      </c>
      <c r="G766" s="44" t="s">
        <v>1424</v>
      </c>
      <c r="I766" s="13" t="str">
        <f>IFERROR(__xludf.DUMMYFUNCTION("if(isblank(A766),,split(A766,""ー""))"),"27-311")</f>
        <v>27-311</v>
      </c>
      <c r="K766" s="13" t="str">
        <f>IFERROR(__xludf.DUMMYFUNCTION("if(isblank(B766),,split(B766,""ー""))"),"27-375")</f>
        <v>27-375</v>
      </c>
    </row>
    <row r="767">
      <c r="A767" s="15" t="s">
        <v>1443</v>
      </c>
      <c r="B767" s="16" t="s">
        <v>1446</v>
      </c>
      <c r="C767" s="13"/>
      <c r="D767" s="6" t="s">
        <v>1447</v>
      </c>
      <c r="E767" s="10" t="s">
        <v>1218</v>
      </c>
      <c r="F767" s="6" t="s">
        <v>36</v>
      </c>
      <c r="G767" s="44" t="s">
        <v>1448</v>
      </c>
      <c r="I767" s="13" t="str">
        <f>IFERROR(__xludf.DUMMYFUNCTION("if(isblank(A767),,split(A767,""ー""))"),"27-311")</f>
        <v>27-311</v>
      </c>
      <c r="K767" s="13" t="str">
        <f>IFERROR(__xludf.DUMMYFUNCTION("if(isblank(B767),,split(B767,""ー""))"),"27-398")</f>
        <v>27-398</v>
      </c>
    </row>
    <row r="768">
      <c r="A768" s="15" t="s">
        <v>1443</v>
      </c>
      <c r="B768" s="16" t="s">
        <v>1449</v>
      </c>
      <c r="C768" s="13"/>
      <c r="D768" s="6" t="s">
        <v>1447</v>
      </c>
      <c r="E768" s="55" t="s">
        <v>1218</v>
      </c>
      <c r="F768" s="6" t="s">
        <v>36</v>
      </c>
      <c r="G768" s="44" t="s">
        <v>1448</v>
      </c>
      <c r="I768" s="13" t="str">
        <f>IFERROR(__xludf.DUMMYFUNCTION("if(isblank(A768),,split(A768,""ー""))"),"27-311")</f>
        <v>27-311</v>
      </c>
      <c r="K768" s="13" t="str">
        <f>IFERROR(__xludf.DUMMYFUNCTION("if(isblank(B768),,split(B768,""ー""))"),"27-399")</f>
        <v>27-399</v>
      </c>
    </row>
    <row r="769">
      <c r="A769" s="15" t="s">
        <v>1443</v>
      </c>
      <c r="B769" s="16" t="s">
        <v>1450</v>
      </c>
      <c r="C769" s="13"/>
      <c r="D769" s="6" t="s">
        <v>1447</v>
      </c>
      <c r="E769" s="10" t="s">
        <v>1218</v>
      </c>
      <c r="F769" s="6" t="s">
        <v>36</v>
      </c>
      <c r="G769" s="44" t="s">
        <v>1448</v>
      </c>
      <c r="I769" s="13" t="str">
        <f>IFERROR(__xludf.DUMMYFUNCTION("if(isblank(A769),,split(A769,""ー""))"),"27-311")</f>
        <v>27-311</v>
      </c>
      <c r="K769" s="13" t="str">
        <f>IFERROR(__xludf.DUMMYFUNCTION("if(isblank(B769),,split(B769,""ー""))"),"27-400")</f>
        <v>27-400</v>
      </c>
    </row>
    <row r="770">
      <c r="A770" s="15" t="s">
        <v>1443</v>
      </c>
      <c r="B770" s="16" t="s">
        <v>1451</v>
      </c>
      <c r="C770" s="13"/>
      <c r="D770" s="6" t="s">
        <v>1447</v>
      </c>
      <c r="E770" s="55" t="s">
        <v>1218</v>
      </c>
      <c r="F770" s="6" t="s">
        <v>36</v>
      </c>
      <c r="G770" s="44" t="s">
        <v>1448</v>
      </c>
      <c r="I770" s="13" t="str">
        <f>IFERROR(__xludf.DUMMYFUNCTION("if(isblank(A770),,split(A770,""ー""))"),"27-311")</f>
        <v>27-311</v>
      </c>
      <c r="K770" s="13" t="str">
        <f>IFERROR(__xludf.DUMMYFUNCTION("if(isblank(B770),,split(B770,""ー""))"),"27-401")</f>
        <v>27-401</v>
      </c>
    </row>
    <row r="771">
      <c r="A771" s="15" t="s">
        <v>1443</v>
      </c>
      <c r="B771" s="16" t="s">
        <v>1452</v>
      </c>
      <c r="C771" s="13"/>
      <c r="D771" s="6" t="s">
        <v>1447</v>
      </c>
      <c r="E771" s="10" t="s">
        <v>1218</v>
      </c>
      <c r="F771" s="6" t="s">
        <v>36</v>
      </c>
      <c r="G771" s="44" t="s">
        <v>1448</v>
      </c>
      <c r="I771" s="13" t="str">
        <f>IFERROR(__xludf.DUMMYFUNCTION("if(isblank(A771),,split(A771,""ー""))"),"27-311")</f>
        <v>27-311</v>
      </c>
      <c r="K771" s="13" t="str">
        <f>IFERROR(__xludf.DUMMYFUNCTION("if(isblank(B771),,split(B771,""ー""))"),"27-402")</f>
        <v>27-402</v>
      </c>
    </row>
    <row r="772">
      <c r="A772" s="15" t="s">
        <v>1443</v>
      </c>
      <c r="B772" s="16" t="s">
        <v>1453</v>
      </c>
      <c r="C772" s="13"/>
      <c r="D772" s="6" t="s">
        <v>36</v>
      </c>
      <c r="E772" s="10" t="s">
        <v>1218</v>
      </c>
      <c r="F772" s="6" t="s">
        <v>36</v>
      </c>
      <c r="G772" s="44" t="s">
        <v>1396</v>
      </c>
      <c r="I772" s="13" t="str">
        <f>IFERROR(__xludf.DUMMYFUNCTION("if(isblank(A772),,split(A772,""ー""))"),"27-311")</f>
        <v>27-311</v>
      </c>
      <c r="K772" s="13" t="str">
        <f>IFERROR(__xludf.DUMMYFUNCTION("if(isblank(B772),,split(B772,""ー""))"),"27-470")</f>
        <v>27-470</v>
      </c>
    </row>
    <row r="773">
      <c r="A773" s="15" t="s">
        <v>1454</v>
      </c>
      <c r="B773" s="16" t="s">
        <v>1455</v>
      </c>
      <c r="C773" s="13"/>
      <c r="D773" s="6" t="s">
        <v>1080</v>
      </c>
      <c r="E773" s="55" t="s">
        <v>1218</v>
      </c>
      <c r="F773" s="6" t="s">
        <v>36</v>
      </c>
      <c r="G773" s="44" t="s">
        <v>1396</v>
      </c>
      <c r="I773" s="13" t="str">
        <f>IFERROR(__xludf.DUMMYFUNCTION("if(isblank(A773),,split(A773,""ー""))"),"27-312")</f>
        <v>27-312</v>
      </c>
      <c r="K773" s="13" t="str">
        <f>IFERROR(__xludf.DUMMYFUNCTION("if(isblank(B773),,split(B773,""ー""))"),"27-442")</f>
        <v>27-442</v>
      </c>
    </row>
    <row r="774">
      <c r="A774" s="15" t="s">
        <v>1456</v>
      </c>
      <c r="B774" s="41" t="s">
        <v>36</v>
      </c>
      <c r="C774" s="9"/>
      <c r="D774" s="6" t="s">
        <v>36</v>
      </c>
      <c r="E774" s="10" t="s">
        <v>1218</v>
      </c>
      <c r="F774" s="6" t="s">
        <v>1387</v>
      </c>
      <c r="G774" s="96" t="s">
        <v>1219</v>
      </c>
      <c r="I774" s="13" t="str">
        <f>IFERROR(__xludf.DUMMYFUNCTION("if(isblank(A774),,split(A774,""ー""))"),"27-321")</f>
        <v>27-321</v>
      </c>
      <c r="K774" s="13" t="str">
        <f>IFERROR(__xludf.DUMMYFUNCTION("if(isblank(B774),,split(B774,""ー""))"),"NA")</f>
        <v>NA</v>
      </c>
    </row>
    <row r="775">
      <c r="A775" s="15" t="s">
        <v>1358</v>
      </c>
      <c r="B775" s="16" t="s">
        <v>353</v>
      </c>
      <c r="C775" s="9">
        <v>43876.0</v>
      </c>
      <c r="D775" s="10" t="s">
        <v>36</v>
      </c>
      <c r="E775" s="10" t="s">
        <v>1218</v>
      </c>
      <c r="F775" s="11" t="s">
        <v>355</v>
      </c>
      <c r="G775" s="68" t="s">
        <v>1237</v>
      </c>
      <c r="I775" s="13" t="str">
        <f>IFERROR(__xludf.DUMMYFUNCTION("if(isblank(A775),,split(A775,""ー""))"),"27-33")</f>
        <v>27-33</v>
      </c>
      <c r="K775" s="13" t="str">
        <f>IFERROR(__xludf.DUMMYFUNCTION("if(isblank(B775),,split(B775,""ー""))"),"20-2")</f>
        <v>20-2</v>
      </c>
    </row>
    <row r="776">
      <c r="A776" s="15" t="s">
        <v>1457</v>
      </c>
      <c r="B776" s="16" t="s">
        <v>1458</v>
      </c>
      <c r="C776" s="13"/>
      <c r="D776" s="6" t="s">
        <v>36</v>
      </c>
      <c r="E776" s="10" t="s">
        <v>1218</v>
      </c>
      <c r="F776" s="6" t="s">
        <v>36</v>
      </c>
      <c r="G776" s="44" t="s">
        <v>1448</v>
      </c>
      <c r="I776" s="13" t="str">
        <f>IFERROR(__xludf.DUMMYFUNCTION("if(isblank(A776),,split(A776,""ー""))"),"27-331")</f>
        <v>27-331</v>
      </c>
      <c r="K776" s="13" t="str">
        <f>IFERROR(__xludf.DUMMYFUNCTION("if(isblank(B776),,split(B776,""ー""))"),"27-391")</f>
        <v>27-391</v>
      </c>
    </row>
    <row r="777">
      <c r="A777" s="15" t="s">
        <v>1459</v>
      </c>
      <c r="B777" s="41" t="s">
        <v>36</v>
      </c>
      <c r="C777" s="9"/>
      <c r="D777" s="6" t="s">
        <v>1460</v>
      </c>
      <c r="E777" s="10" t="s">
        <v>1218</v>
      </c>
      <c r="F777" s="6" t="s">
        <v>36</v>
      </c>
      <c r="G777" s="96" t="s">
        <v>1219</v>
      </c>
      <c r="I777" s="13" t="str">
        <f>IFERROR(__xludf.DUMMYFUNCTION("if(isblank(A777),,split(A777,""ー""))"),"27-337")</f>
        <v>27-337</v>
      </c>
      <c r="K777" s="13" t="str">
        <f>IFERROR(__xludf.DUMMYFUNCTION("if(isblank(B777),,split(B777,""ー""))"),"NA")</f>
        <v>NA</v>
      </c>
    </row>
    <row r="778">
      <c r="A778" s="15" t="s">
        <v>1408</v>
      </c>
      <c r="B778" s="41" t="s">
        <v>36</v>
      </c>
      <c r="C778" s="9"/>
      <c r="D778" s="6" t="s">
        <v>36</v>
      </c>
      <c r="E778" s="55" t="s">
        <v>1218</v>
      </c>
      <c r="F778" s="6" t="s">
        <v>1387</v>
      </c>
      <c r="G778" s="96" t="s">
        <v>1219</v>
      </c>
      <c r="I778" s="13" t="str">
        <f>IFERROR(__xludf.DUMMYFUNCTION("if(isblank(A778),,split(A778,""ー""))"),"27-338")</f>
        <v>27-338</v>
      </c>
      <c r="K778" s="13" t="str">
        <f>IFERROR(__xludf.DUMMYFUNCTION("if(isblank(B778),,split(B778,""ー""))"),"NA")</f>
        <v>NA</v>
      </c>
    </row>
    <row r="779">
      <c r="A779" s="15" t="s">
        <v>1238</v>
      </c>
      <c r="B779" s="16" t="s">
        <v>353</v>
      </c>
      <c r="C779" s="9">
        <v>43876.0</v>
      </c>
      <c r="D779" s="10" t="s">
        <v>36</v>
      </c>
      <c r="E779" s="10" t="s">
        <v>1218</v>
      </c>
      <c r="F779" s="11" t="s">
        <v>355</v>
      </c>
      <c r="G779" s="68" t="s">
        <v>1237</v>
      </c>
      <c r="I779" s="13" t="str">
        <f>IFERROR(__xludf.DUMMYFUNCTION("if(isblank(A779),,split(A779,""ー""))"),"27-34")</f>
        <v>27-34</v>
      </c>
      <c r="K779" s="13" t="str">
        <f>IFERROR(__xludf.DUMMYFUNCTION("if(isblank(B779),,split(B779,""ー""))"),"20-2")</f>
        <v>20-2</v>
      </c>
    </row>
    <row r="780">
      <c r="A780" s="15" t="s">
        <v>1461</v>
      </c>
      <c r="B780" s="16" t="s">
        <v>1462</v>
      </c>
      <c r="C780" s="13"/>
      <c r="D780" s="6" t="s">
        <v>165</v>
      </c>
      <c r="E780" s="55" t="s">
        <v>1218</v>
      </c>
      <c r="F780" s="6" t="s">
        <v>36</v>
      </c>
      <c r="G780" s="44" t="s">
        <v>1430</v>
      </c>
      <c r="I780" s="13" t="str">
        <f>IFERROR(__xludf.DUMMYFUNCTION("if(isblank(A780),,split(A780,""ー""))"),"27-343")</f>
        <v>27-343</v>
      </c>
      <c r="K780" s="13" t="str">
        <f>IFERROR(__xludf.DUMMYFUNCTION("if(isblank(B780),,split(B780,""ー""))"),"27-415")</f>
        <v>27-415</v>
      </c>
    </row>
    <row r="781">
      <c r="A781" s="15" t="s">
        <v>1359</v>
      </c>
      <c r="B781" s="16" t="s">
        <v>353</v>
      </c>
      <c r="C781" s="9">
        <v>43876.0</v>
      </c>
      <c r="D781" s="10" t="s">
        <v>36</v>
      </c>
      <c r="E781" s="10" t="s">
        <v>1218</v>
      </c>
      <c r="F781" s="11" t="s">
        <v>355</v>
      </c>
      <c r="G781" s="68" t="s">
        <v>1237</v>
      </c>
      <c r="I781" s="13" t="str">
        <f>IFERROR(__xludf.DUMMYFUNCTION("if(isblank(A781),,split(A781,""ー""))"),"27-35")</f>
        <v>27-35</v>
      </c>
      <c r="K781" s="13" t="str">
        <f>IFERROR(__xludf.DUMMYFUNCTION("if(isblank(B781),,split(B781,""ー""))"),"20-2")</f>
        <v>20-2</v>
      </c>
    </row>
    <row r="782">
      <c r="A782" s="94" t="s">
        <v>1359</v>
      </c>
      <c r="B782" s="86" t="s">
        <v>1463</v>
      </c>
      <c r="C782" s="9"/>
      <c r="D782" s="6" t="s">
        <v>30</v>
      </c>
      <c r="E782" s="6" t="s">
        <v>1218</v>
      </c>
      <c r="F782" s="6" t="s">
        <v>36</v>
      </c>
      <c r="G782" s="64" t="s">
        <v>1256</v>
      </c>
      <c r="I782" s="13" t="str">
        <f>IFERROR(__xludf.DUMMYFUNCTION("if(isblank(A782),,split(A782,""ー""))"),"27-35")</f>
        <v>27-35</v>
      </c>
      <c r="K782" s="13" t="str">
        <f>IFERROR(__xludf.DUMMYFUNCTION("if(isblank(B782),,split(B782,""ー""))"),"27-61")</f>
        <v>27-61</v>
      </c>
    </row>
    <row r="783">
      <c r="A783" s="94" t="s">
        <v>1359</v>
      </c>
      <c r="B783" s="86" t="s">
        <v>1464</v>
      </c>
      <c r="C783" s="9"/>
      <c r="D783" s="6" t="s">
        <v>30</v>
      </c>
      <c r="E783" s="6" t="s">
        <v>1218</v>
      </c>
      <c r="F783" s="6" t="s">
        <v>36</v>
      </c>
      <c r="G783" s="64" t="s">
        <v>1237</v>
      </c>
      <c r="I783" s="13" t="str">
        <f>IFERROR(__xludf.DUMMYFUNCTION("if(isblank(A783),,split(A783,""ー""))"),"27-35")</f>
        <v>27-35</v>
      </c>
      <c r="K783" s="13" t="str">
        <f>IFERROR(__xludf.DUMMYFUNCTION("if(isblank(B783),,split(B783,""ー""))"),"27-83")</f>
        <v>27-83</v>
      </c>
    </row>
    <row r="784">
      <c r="A784" s="15" t="s">
        <v>1465</v>
      </c>
      <c r="B784" s="16" t="s">
        <v>1466</v>
      </c>
      <c r="C784" s="13"/>
      <c r="D784" s="6" t="s">
        <v>36</v>
      </c>
      <c r="E784" s="10" t="s">
        <v>1218</v>
      </c>
      <c r="F784" s="6" t="s">
        <v>36</v>
      </c>
      <c r="G784" s="44" t="s">
        <v>1396</v>
      </c>
      <c r="I784" s="13" t="str">
        <f>IFERROR(__xludf.DUMMYFUNCTION("if(isblank(A784),,split(A784,""ー""))"),"27-350")</f>
        <v>27-350</v>
      </c>
      <c r="K784" s="13" t="str">
        <f>IFERROR(__xludf.DUMMYFUNCTION("if(isblank(B784),,split(B784,""ー""))"),"27-452")</f>
        <v>27-452</v>
      </c>
    </row>
    <row r="785">
      <c r="A785" s="15" t="s">
        <v>1467</v>
      </c>
      <c r="B785" s="16" t="s">
        <v>353</v>
      </c>
      <c r="C785" s="9"/>
      <c r="D785" s="10" t="s">
        <v>36</v>
      </c>
      <c r="E785" s="10" t="s">
        <v>1218</v>
      </c>
      <c r="F785" s="11" t="s">
        <v>355</v>
      </c>
      <c r="G785" s="68" t="s">
        <v>1237</v>
      </c>
      <c r="I785" s="13" t="str">
        <f>IFERROR(__xludf.DUMMYFUNCTION("if(isblank(A785),,split(A785,""ー""))"),"27-36")</f>
        <v>27-36</v>
      </c>
      <c r="K785" s="13" t="str">
        <f>IFERROR(__xludf.DUMMYFUNCTION("if(isblank(B785),,split(B785,""ー""))"),"20-2")</f>
        <v>20-2</v>
      </c>
    </row>
    <row r="786">
      <c r="A786" s="15" t="s">
        <v>1468</v>
      </c>
      <c r="B786" s="16" t="s">
        <v>1469</v>
      </c>
      <c r="C786" s="13"/>
      <c r="D786" s="6" t="s">
        <v>165</v>
      </c>
      <c r="E786" s="55" t="s">
        <v>1218</v>
      </c>
      <c r="F786" s="6" t="s">
        <v>36</v>
      </c>
      <c r="G786" s="44" t="s">
        <v>1448</v>
      </c>
      <c r="I786" s="13" t="str">
        <f>IFERROR(__xludf.DUMMYFUNCTION("if(isblank(A786),,split(A786,""ー""))"),"27-363")</f>
        <v>27-363</v>
      </c>
      <c r="K786" s="13" t="str">
        <f>IFERROR(__xludf.DUMMYFUNCTION("if(isblank(B786),,split(B786,""ー""))"),"27-395")</f>
        <v>27-395</v>
      </c>
    </row>
    <row r="787">
      <c r="A787" s="15" t="s">
        <v>1470</v>
      </c>
      <c r="B787" s="16" t="s">
        <v>1471</v>
      </c>
      <c r="C787" s="13"/>
      <c r="D787" s="6" t="s">
        <v>165</v>
      </c>
      <c r="E787" s="55" t="s">
        <v>1218</v>
      </c>
      <c r="F787" s="6" t="s">
        <v>36</v>
      </c>
      <c r="G787" s="49" t="s">
        <v>1424</v>
      </c>
      <c r="I787" s="13" t="str">
        <f>IFERROR(__xludf.DUMMYFUNCTION("if(isblank(A787),,split(A787,""ー""))"),"27-369")</f>
        <v>27-369</v>
      </c>
      <c r="K787" s="13" t="str">
        <f>IFERROR(__xludf.DUMMYFUNCTION("if(isblank(B787),,split(B787,""ー""))"),"27-370")</f>
        <v>27-370</v>
      </c>
    </row>
    <row r="788">
      <c r="A788" s="15" t="s">
        <v>1470</v>
      </c>
      <c r="B788" s="16" t="s">
        <v>1472</v>
      </c>
      <c r="C788" s="13"/>
      <c r="D788" s="6" t="s">
        <v>36</v>
      </c>
      <c r="E788" s="10" t="s">
        <v>1218</v>
      </c>
      <c r="F788" s="6" t="s">
        <v>36</v>
      </c>
      <c r="G788" s="44" t="s">
        <v>1430</v>
      </c>
      <c r="I788" s="13" t="str">
        <f>IFERROR(__xludf.DUMMYFUNCTION("if(isblank(A788),,split(A788,""ー""))"),"27-369")</f>
        <v>27-369</v>
      </c>
      <c r="K788" s="13" t="str">
        <f>IFERROR(__xludf.DUMMYFUNCTION("if(isblank(B788),,split(B788,""ー""))"),"27-419")</f>
        <v>27-419</v>
      </c>
    </row>
    <row r="789">
      <c r="A789" s="15" t="s">
        <v>1473</v>
      </c>
      <c r="B789" s="16" t="s">
        <v>353</v>
      </c>
      <c r="C789" s="9"/>
      <c r="D789" s="10" t="s">
        <v>36</v>
      </c>
      <c r="E789" s="10" t="s">
        <v>1218</v>
      </c>
      <c r="F789" s="11" t="s">
        <v>355</v>
      </c>
      <c r="G789" s="68" t="s">
        <v>1237</v>
      </c>
      <c r="I789" s="13" t="str">
        <f>IFERROR(__xludf.DUMMYFUNCTION("if(isblank(A789),,split(A789,""ー""))"),"27-37")</f>
        <v>27-37</v>
      </c>
      <c r="K789" s="13" t="str">
        <f>IFERROR(__xludf.DUMMYFUNCTION("if(isblank(B789),,split(B789,""ー""))"),"20-2")</f>
        <v>20-2</v>
      </c>
    </row>
    <row r="790">
      <c r="A790" s="15" t="s">
        <v>1474</v>
      </c>
      <c r="B790" s="16" t="s">
        <v>353</v>
      </c>
      <c r="C790" s="9"/>
      <c r="D790" s="10" t="s">
        <v>36</v>
      </c>
      <c r="E790" s="10" t="s">
        <v>1218</v>
      </c>
      <c r="F790" s="11" t="s">
        <v>355</v>
      </c>
      <c r="G790" s="68" t="s">
        <v>1237</v>
      </c>
      <c r="I790" s="13" t="str">
        <f>IFERROR(__xludf.DUMMYFUNCTION("if(isblank(A790),,split(A790,""ー""))"),"27-38")</f>
        <v>27-38</v>
      </c>
      <c r="K790" s="13" t="str">
        <f>IFERROR(__xludf.DUMMYFUNCTION("if(isblank(B790),,split(B790,""ー""))"),"20-2")</f>
        <v>20-2</v>
      </c>
    </row>
    <row r="791">
      <c r="A791" s="15" t="s">
        <v>1439</v>
      </c>
      <c r="B791" s="16" t="s">
        <v>1440</v>
      </c>
      <c r="C791" s="13"/>
      <c r="D791" s="6" t="s">
        <v>36</v>
      </c>
      <c r="E791" s="55" t="s">
        <v>1218</v>
      </c>
      <c r="F791" s="6" t="s">
        <v>36</v>
      </c>
      <c r="G791" s="44" t="s">
        <v>1424</v>
      </c>
      <c r="I791" s="13" t="str">
        <f>IFERROR(__xludf.DUMMYFUNCTION("if(isblank(A791),,split(A791,""ー""))"),"27-381")</f>
        <v>27-381</v>
      </c>
      <c r="K791" s="13" t="str">
        <f>IFERROR(__xludf.DUMMYFUNCTION("if(isblank(B791),,split(B791,""ー""))"),"28-161")</f>
        <v>28-161</v>
      </c>
    </row>
    <row r="792">
      <c r="A792" s="15" t="s">
        <v>1475</v>
      </c>
      <c r="B792" s="16" t="s">
        <v>1476</v>
      </c>
      <c r="C792" s="13"/>
      <c r="D792" s="6" t="s">
        <v>165</v>
      </c>
      <c r="E792" s="55" t="s">
        <v>1218</v>
      </c>
      <c r="F792" s="6" t="s">
        <v>36</v>
      </c>
      <c r="G792" s="44" t="s">
        <v>1430</v>
      </c>
      <c r="I792" s="13" t="str">
        <f>IFERROR(__xludf.DUMMYFUNCTION("if(isblank(A792),,split(A792,""ー""))"),"27-383")</f>
        <v>27-383</v>
      </c>
      <c r="K792" s="13" t="str">
        <f>IFERROR(__xludf.DUMMYFUNCTION("if(isblank(B792),,split(B792,""ー""))"),"27-417")</f>
        <v>27-417</v>
      </c>
    </row>
    <row r="793">
      <c r="A793" s="15" t="s">
        <v>1477</v>
      </c>
      <c r="B793" s="16" t="s">
        <v>353</v>
      </c>
      <c r="C793" s="9"/>
      <c r="D793" s="10" t="s">
        <v>36</v>
      </c>
      <c r="E793" s="10" t="s">
        <v>1218</v>
      </c>
      <c r="F793" s="11" t="s">
        <v>355</v>
      </c>
      <c r="G793" s="68" t="s">
        <v>1237</v>
      </c>
      <c r="I793" s="13" t="str">
        <f>IFERROR(__xludf.DUMMYFUNCTION("if(isblank(A793),,split(A793,""ー""))"),"27-39")</f>
        <v>27-39</v>
      </c>
      <c r="K793" s="13" t="str">
        <f>IFERROR(__xludf.DUMMYFUNCTION("if(isblank(B793),,split(B793,""ー""))"),"20-2")</f>
        <v>20-2</v>
      </c>
    </row>
    <row r="794">
      <c r="A794" s="15" t="s">
        <v>1478</v>
      </c>
      <c r="B794" s="16" t="s">
        <v>1479</v>
      </c>
      <c r="C794" s="13"/>
      <c r="D794" s="6" t="s">
        <v>36</v>
      </c>
      <c r="E794" s="55" t="s">
        <v>1218</v>
      </c>
      <c r="F794" s="6" t="s">
        <v>36</v>
      </c>
      <c r="G794" s="44" t="s">
        <v>1396</v>
      </c>
      <c r="I794" s="13" t="str">
        <f>IFERROR(__xludf.DUMMYFUNCTION("if(isblank(A794),,split(A794,""ー""))"),"27-397")</f>
        <v>27-397</v>
      </c>
      <c r="K794" s="13" t="str">
        <f>IFERROR(__xludf.DUMMYFUNCTION("if(isblank(B794),,split(B794,""ー""))"),"27-455")</f>
        <v>27-455</v>
      </c>
    </row>
    <row r="795">
      <c r="A795" s="15" t="s">
        <v>1480</v>
      </c>
      <c r="B795" s="16" t="s">
        <v>353</v>
      </c>
      <c r="C795" s="9"/>
      <c r="D795" s="10" t="s">
        <v>36</v>
      </c>
      <c r="E795" s="10" t="s">
        <v>1218</v>
      </c>
      <c r="F795" s="11" t="s">
        <v>355</v>
      </c>
      <c r="G795" s="68" t="s">
        <v>1237</v>
      </c>
      <c r="I795" s="13" t="str">
        <f>IFERROR(__xludf.DUMMYFUNCTION("if(isblank(A795),,split(A795,""ー""))"),"27-40")</f>
        <v>27-40</v>
      </c>
      <c r="K795" s="13" t="str">
        <f>IFERROR(__xludf.DUMMYFUNCTION("if(isblank(B795),,split(B795,""ー""))"),"20-2")</f>
        <v>20-2</v>
      </c>
    </row>
    <row r="796">
      <c r="A796" s="15" t="s">
        <v>1452</v>
      </c>
      <c r="B796" s="16" t="s">
        <v>1481</v>
      </c>
      <c r="C796" s="13"/>
      <c r="D796" s="6" t="s">
        <v>165</v>
      </c>
      <c r="E796" s="10" t="s">
        <v>1218</v>
      </c>
      <c r="F796" s="6" t="s">
        <v>36</v>
      </c>
      <c r="G796" s="44" t="s">
        <v>1430</v>
      </c>
      <c r="I796" s="13" t="str">
        <f>IFERROR(__xludf.DUMMYFUNCTION("if(isblank(A796),,split(A796,""ー""))"),"27-402")</f>
        <v>27-402</v>
      </c>
      <c r="K796" s="13" t="str">
        <f>IFERROR(__xludf.DUMMYFUNCTION("if(isblank(B796),,split(B796,""ー""))"),"27-414")</f>
        <v>27-414</v>
      </c>
    </row>
    <row r="797">
      <c r="A797" s="15" t="s">
        <v>1482</v>
      </c>
      <c r="B797" s="41" t="s">
        <v>36</v>
      </c>
      <c r="C797" s="13"/>
      <c r="D797" s="6" t="s">
        <v>1483</v>
      </c>
      <c r="E797" s="55" t="s">
        <v>1218</v>
      </c>
      <c r="F797" s="6" t="s">
        <v>36</v>
      </c>
      <c r="G797" s="44" t="s">
        <v>1448</v>
      </c>
      <c r="I797" s="13" t="str">
        <f>IFERROR(__xludf.DUMMYFUNCTION("if(isblank(A797),,split(A797,""ー""))"),"27-406")</f>
        <v>27-406</v>
      </c>
      <c r="K797" s="13" t="str">
        <f>IFERROR(__xludf.DUMMYFUNCTION("if(isblank(B797),,split(B797,""ー""))"),"NA")</f>
        <v>NA</v>
      </c>
    </row>
    <row r="798">
      <c r="A798" s="94" t="s">
        <v>1484</v>
      </c>
      <c r="B798" s="86" t="s">
        <v>1485</v>
      </c>
      <c r="C798" s="9"/>
      <c r="D798" s="6" t="s">
        <v>1486</v>
      </c>
      <c r="E798" s="6" t="s">
        <v>1218</v>
      </c>
      <c r="F798" s="6" t="s">
        <v>36</v>
      </c>
      <c r="G798" s="64" t="s">
        <v>1237</v>
      </c>
      <c r="I798" s="13" t="str">
        <f>IFERROR(__xludf.DUMMYFUNCTION("if(isblank(A798),,split(A798,""ー""))"),"27-41")</f>
        <v>27-41</v>
      </c>
      <c r="K798" s="13" t="str">
        <f>IFERROR(__xludf.DUMMYFUNCTION("if(isblank(B798),,split(B798,""ー""))"),"27-76")</f>
        <v>27-76</v>
      </c>
    </row>
    <row r="799">
      <c r="A799" s="94" t="s">
        <v>1484</v>
      </c>
      <c r="B799" s="86" t="s">
        <v>1487</v>
      </c>
      <c r="C799" s="9"/>
      <c r="D799" s="6" t="s">
        <v>1378</v>
      </c>
      <c r="E799" s="6" t="s">
        <v>1218</v>
      </c>
      <c r="F799" s="6" t="s">
        <v>36</v>
      </c>
      <c r="G799" s="64" t="s">
        <v>1488</v>
      </c>
      <c r="I799" s="13" t="str">
        <f>IFERROR(__xludf.DUMMYFUNCTION("if(isblank(A799),,split(A799,""ー""))"),"27-41")</f>
        <v>27-41</v>
      </c>
      <c r="K799" s="13" t="str">
        <f>IFERROR(__xludf.DUMMYFUNCTION("if(isblank(B799),,split(B799,""ー""))"),"27-90")</f>
        <v>27-90</v>
      </c>
    </row>
    <row r="800">
      <c r="A800" s="15" t="s">
        <v>1489</v>
      </c>
      <c r="B800" s="16" t="s">
        <v>1490</v>
      </c>
      <c r="C800" s="13"/>
      <c r="D800" s="6" t="s">
        <v>36</v>
      </c>
      <c r="E800" s="55" t="s">
        <v>1218</v>
      </c>
      <c r="F800" s="6" t="s">
        <v>36</v>
      </c>
      <c r="G800" s="44" t="s">
        <v>1396</v>
      </c>
      <c r="I800" s="13" t="str">
        <f>IFERROR(__xludf.DUMMYFUNCTION("if(isblank(A800),,split(A800,""ー""))"),"27-410")</f>
        <v>27-410</v>
      </c>
      <c r="K800" s="13" t="str">
        <f>IFERROR(__xludf.DUMMYFUNCTION("if(isblank(B800),,split(B800,""ー""))"),"27-436")</f>
        <v>27-436</v>
      </c>
    </row>
    <row r="801">
      <c r="A801" s="15" t="s">
        <v>1491</v>
      </c>
      <c r="B801" s="16" t="s">
        <v>353</v>
      </c>
      <c r="C801" s="9"/>
      <c r="D801" s="10" t="s">
        <v>36</v>
      </c>
      <c r="E801" s="10" t="s">
        <v>1218</v>
      </c>
      <c r="F801" s="11" t="s">
        <v>355</v>
      </c>
      <c r="G801" s="64" t="s">
        <v>1337</v>
      </c>
      <c r="I801" s="13" t="str">
        <f>IFERROR(__xludf.DUMMYFUNCTION("if(isblank(A801),,split(A801,""ー""))"),"27-42")</f>
        <v>27-42</v>
      </c>
      <c r="K801" s="13" t="str">
        <f>IFERROR(__xludf.DUMMYFUNCTION("if(isblank(B801),,split(B801,""ー""))"),"20-2")</f>
        <v>20-2</v>
      </c>
    </row>
    <row r="802">
      <c r="A802" s="15" t="s">
        <v>1492</v>
      </c>
      <c r="B802" s="16" t="s">
        <v>1493</v>
      </c>
      <c r="C802" s="13"/>
      <c r="D802" s="6" t="s">
        <v>1247</v>
      </c>
      <c r="E802" s="55" t="s">
        <v>1218</v>
      </c>
      <c r="F802" s="6" t="s">
        <v>36</v>
      </c>
      <c r="G802" s="44" t="s">
        <v>1430</v>
      </c>
      <c r="I802" s="13" t="str">
        <f>IFERROR(__xludf.DUMMYFUNCTION("if(isblank(A802),,split(A802,""ー""))"),"27-423")</f>
        <v>27-423</v>
      </c>
      <c r="K802" s="13" t="str">
        <f>IFERROR(__xludf.DUMMYFUNCTION("if(isblank(B802),,split(B802,""ー""))"),"24-341")</f>
        <v>24-341</v>
      </c>
    </row>
    <row r="803">
      <c r="A803" s="15" t="s">
        <v>1494</v>
      </c>
      <c r="B803" s="16" t="s">
        <v>1495</v>
      </c>
      <c r="C803" s="13"/>
      <c r="D803" s="6" t="s">
        <v>165</v>
      </c>
      <c r="E803" s="10" t="s">
        <v>1218</v>
      </c>
      <c r="F803" s="6" t="s">
        <v>36</v>
      </c>
      <c r="G803" s="44" t="s">
        <v>1396</v>
      </c>
      <c r="I803" s="13" t="str">
        <f>IFERROR(__xludf.DUMMYFUNCTION("if(isblank(A803),,split(A803,""ー""))"),"27-431")</f>
        <v>27-431</v>
      </c>
      <c r="K803" s="13" t="str">
        <f>IFERROR(__xludf.DUMMYFUNCTION("if(isblank(B803),,split(B803,""ー""))"),"27-432")</f>
        <v>27-432</v>
      </c>
    </row>
    <row r="804">
      <c r="A804" s="15" t="s">
        <v>1411</v>
      </c>
      <c r="B804" s="16" t="s">
        <v>1412</v>
      </c>
      <c r="C804" s="13"/>
      <c r="D804" s="6" t="s">
        <v>165</v>
      </c>
      <c r="E804" s="55" t="s">
        <v>1218</v>
      </c>
      <c r="F804" s="6" t="s">
        <v>36</v>
      </c>
      <c r="G804" s="44" t="s">
        <v>1396</v>
      </c>
      <c r="I804" s="13" t="str">
        <f>IFERROR(__xludf.DUMMYFUNCTION("if(isblank(A804),,split(A804,""ー""))"),"27-437")</f>
        <v>27-437</v>
      </c>
      <c r="K804" s="13" t="str">
        <f>IFERROR(__xludf.DUMMYFUNCTION("if(isblank(B804),,split(B804,""ー""))"),"27-438")</f>
        <v>27-438</v>
      </c>
    </row>
    <row r="805">
      <c r="A805" s="15" t="s">
        <v>1336</v>
      </c>
      <c r="B805" s="16" t="s">
        <v>1334</v>
      </c>
      <c r="C805" s="9"/>
      <c r="D805" s="10" t="s">
        <v>165</v>
      </c>
      <c r="E805" s="10" t="s">
        <v>1218</v>
      </c>
      <c r="F805" s="11" t="s">
        <v>36</v>
      </c>
      <c r="G805" s="12" t="s">
        <v>1335</v>
      </c>
      <c r="I805" s="13" t="str">
        <f>IFERROR(__xludf.DUMMYFUNCTION("if(isblank(A805),,split(A805,""ー""))"),"27-44")</f>
        <v>27-44</v>
      </c>
      <c r="K805" s="13" t="str">
        <f>IFERROR(__xludf.DUMMYFUNCTION("if(isblank(B805),,split(B805,""ー""))"),"27-118")</f>
        <v>27-118</v>
      </c>
    </row>
    <row r="806">
      <c r="A806" s="15" t="s">
        <v>1336</v>
      </c>
      <c r="B806" s="16" t="s">
        <v>1334</v>
      </c>
      <c r="C806" s="9"/>
      <c r="D806" s="10" t="s">
        <v>165</v>
      </c>
      <c r="E806" s="10" t="s">
        <v>1218</v>
      </c>
      <c r="F806" s="11" t="s">
        <v>36</v>
      </c>
      <c r="G806" s="12" t="s">
        <v>1335</v>
      </c>
      <c r="I806" s="13" t="str">
        <f>IFERROR(__xludf.DUMMYFUNCTION("if(isblank(A806),,split(A806,""ー""))"),"27-44")</f>
        <v>27-44</v>
      </c>
      <c r="K806" s="13" t="str">
        <f>IFERROR(__xludf.DUMMYFUNCTION("if(isblank(B806),,split(B806,""ー""))"),"27-118")</f>
        <v>27-118</v>
      </c>
    </row>
    <row r="807">
      <c r="A807" s="94" t="s">
        <v>1336</v>
      </c>
      <c r="B807" s="86" t="s">
        <v>1496</v>
      </c>
      <c r="C807" s="9"/>
      <c r="D807" s="6" t="s">
        <v>165</v>
      </c>
      <c r="E807" s="6" t="s">
        <v>1218</v>
      </c>
      <c r="F807" s="6" t="s">
        <v>36</v>
      </c>
      <c r="G807" s="64" t="s">
        <v>1337</v>
      </c>
      <c r="I807" s="13" t="str">
        <f>IFERROR(__xludf.DUMMYFUNCTION("if(isblank(A807),,split(A807,""ー""))"),"27-44")</f>
        <v>27-44</v>
      </c>
      <c r="K807" s="13" t="str">
        <f>IFERROR(__xludf.DUMMYFUNCTION("if(isblank(B807),,split(B807,""ー""))"),"27-52")</f>
        <v>27-52</v>
      </c>
    </row>
    <row r="808">
      <c r="A808" s="15" t="s">
        <v>1497</v>
      </c>
      <c r="B808" s="16" t="s">
        <v>353</v>
      </c>
      <c r="C808" s="9"/>
      <c r="D808" s="10" t="s">
        <v>36</v>
      </c>
      <c r="E808" s="10" t="s">
        <v>1218</v>
      </c>
      <c r="F808" s="11" t="s">
        <v>355</v>
      </c>
      <c r="G808" s="64" t="s">
        <v>1337</v>
      </c>
      <c r="I808" s="13" t="str">
        <f>IFERROR(__xludf.DUMMYFUNCTION("if(isblank(A808),,split(A808,""ー""))"),"27-45")</f>
        <v>27-45</v>
      </c>
      <c r="K808" s="13" t="str">
        <f>IFERROR(__xludf.DUMMYFUNCTION("if(isblank(B808),,split(B808,""ー""))"),"20-2")</f>
        <v>20-2</v>
      </c>
    </row>
    <row r="809">
      <c r="A809" s="15" t="s">
        <v>1498</v>
      </c>
      <c r="B809" s="16" t="s">
        <v>353</v>
      </c>
      <c r="C809" s="9"/>
      <c r="D809" s="10" t="s">
        <v>36</v>
      </c>
      <c r="E809" s="10" t="s">
        <v>1218</v>
      </c>
      <c r="F809" s="11" t="s">
        <v>355</v>
      </c>
      <c r="G809" s="64" t="s">
        <v>1337</v>
      </c>
      <c r="I809" s="13" t="str">
        <f>IFERROR(__xludf.DUMMYFUNCTION("if(isblank(A809),,split(A809,""ー""))"),"27-46")</f>
        <v>27-46</v>
      </c>
      <c r="K809" s="13" t="str">
        <f>IFERROR(__xludf.DUMMYFUNCTION("if(isblank(B809),,split(B809,""ー""))"),"20-2")</f>
        <v>20-2</v>
      </c>
    </row>
    <row r="810">
      <c r="A810" s="94" t="s">
        <v>1498</v>
      </c>
      <c r="B810" s="86" t="s">
        <v>1485</v>
      </c>
      <c r="C810" s="9"/>
      <c r="D810" s="6" t="s">
        <v>1378</v>
      </c>
      <c r="E810" s="6" t="s">
        <v>1218</v>
      </c>
      <c r="F810" s="6" t="s">
        <v>36</v>
      </c>
      <c r="G810" s="64" t="s">
        <v>1242</v>
      </c>
      <c r="I810" s="13" t="str">
        <f>IFERROR(__xludf.DUMMYFUNCTION("if(isblank(A810),,split(A810,""ー""))"),"27-46")</f>
        <v>27-46</v>
      </c>
      <c r="K810" s="13" t="str">
        <f>IFERROR(__xludf.DUMMYFUNCTION("if(isblank(B810),,split(B810,""ー""))"),"27-76")</f>
        <v>27-76</v>
      </c>
    </row>
    <row r="811">
      <c r="A811" s="94" t="s">
        <v>1498</v>
      </c>
      <c r="B811" s="86" t="s">
        <v>1499</v>
      </c>
      <c r="C811" s="9"/>
      <c r="D811" s="6" t="s">
        <v>1378</v>
      </c>
      <c r="E811" s="6" t="s">
        <v>1218</v>
      </c>
      <c r="F811" s="6" t="s">
        <v>36</v>
      </c>
      <c r="G811" s="64" t="s">
        <v>1242</v>
      </c>
      <c r="I811" s="13" t="str">
        <f>IFERROR(__xludf.DUMMYFUNCTION("if(isblank(A811),,split(A811,""ー""))"),"27-46")</f>
        <v>27-46</v>
      </c>
      <c r="K811" s="13" t="str">
        <f>IFERROR(__xludf.DUMMYFUNCTION("if(isblank(B811),,split(B811,""ー""))"),"27-77")</f>
        <v>27-77</v>
      </c>
      <c r="Y811" s="4"/>
      <c r="Z811" s="4"/>
    </row>
    <row r="812">
      <c r="A812" s="94" t="s">
        <v>1498</v>
      </c>
      <c r="B812" s="86" t="s">
        <v>1500</v>
      </c>
      <c r="C812" s="9"/>
      <c r="D812" s="6" t="s">
        <v>1378</v>
      </c>
      <c r="E812" s="6" t="s">
        <v>1218</v>
      </c>
      <c r="F812" s="6" t="s">
        <v>36</v>
      </c>
      <c r="G812" s="64" t="s">
        <v>1501</v>
      </c>
      <c r="I812" s="13" t="str">
        <f>IFERROR(__xludf.DUMMYFUNCTION("if(isblank(A812),,split(A812,""ー""))"),"27-46")</f>
        <v>27-46</v>
      </c>
      <c r="K812" s="13" t="str">
        <f>IFERROR(__xludf.DUMMYFUNCTION("if(isblank(B812),,split(B812,""ー""))"),"27-89")</f>
        <v>27-89</v>
      </c>
    </row>
    <row r="813">
      <c r="A813" s="15" t="s">
        <v>1502</v>
      </c>
      <c r="B813" s="41" t="s">
        <v>36</v>
      </c>
      <c r="C813" s="13"/>
      <c r="D813" s="6" t="s">
        <v>1503</v>
      </c>
      <c r="E813" s="10" t="s">
        <v>1218</v>
      </c>
      <c r="F813" s="6" t="s">
        <v>36</v>
      </c>
      <c r="G813" s="44" t="s">
        <v>1396</v>
      </c>
      <c r="I813" s="13" t="str">
        <f>IFERROR(__xludf.DUMMYFUNCTION("if(isblank(A813),,split(A813,""ー""))"),"27-460")</f>
        <v>27-460</v>
      </c>
      <c r="K813" s="13" t="str">
        <f>IFERROR(__xludf.DUMMYFUNCTION("if(isblank(B813),,split(B813,""ー""))"),"NA")</f>
        <v>NA</v>
      </c>
    </row>
    <row r="814">
      <c r="A814" s="15" t="s">
        <v>1504</v>
      </c>
      <c r="B814" s="16" t="s">
        <v>1505</v>
      </c>
      <c r="C814" s="13"/>
      <c r="D814" s="6" t="s">
        <v>165</v>
      </c>
      <c r="E814" s="55" t="s">
        <v>1218</v>
      </c>
      <c r="F814" s="6" t="s">
        <v>36</v>
      </c>
      <c r="G814" s="44" t="s">
        <v>1396</v>
      </c>
      <c r="I814" s="13" t="str">
        <f>IFERROR(__xludf.DUMMYFUNCTION("if(isblank(A814),,split(A814,""ー""))"),"27-465")</f>
        <v>27-465</v>
      </c>
      <c r="K814" s="13" t="str">
        <f>IFERROR(__xludf.DUMMYFUNCTION("if(isblank(B814),,split(B814,""ー""))"),"27-466")</f>
        <v>27-466</v>
      </c>
    </row>
    <row r="815">
      <c r="A815" s="15" t="s">
        <v>1506</v>
      </c>
      <c r="B815" s="16" t="s">
        <v>353</v>
      </c>
      <c r="C815" s="9"/>
      <c r="D815" s="10" t="s">
        <v>36</v>
      </c>
      <c r="E815" s="10" t="s">
        <v>1218</v>
      </c>
      <c r="F815" s="11" t="s">
        <v>355</v>
      </c>
      <c r="G815" s="64" t="s">
        <v>1337</v>
      </c>
      <c r="I815" s="13" t="str">
        <f>IFERROR(__xludf.DUMMYFUNCTION("if(isblank(A815),,split(A815,""ー""))"),"27-47")</f>
        <v>27-47</v>
      </c>
      <c r="K815" s="13" t="str">
        <f>IFERROR(__xludf.DUMMYFUNCTION("if(isblank(B815),,split(B815,""ー""))"),"20-2")</f>
        <v>20-2</v>
      </c>
    </row>
    <row r="816">
      <c r="A816" s="94" t="s">
        <v>1506</v>
      </c>
      <c r="B816" s="86" t="s">
        <v>1507</v>
      </c>
      <c r="C816" s="9"/>
      <c r="D816" s="6" t="s">
        <v>1378</v>
      </c>
      <c r="E816" s="6" t="s">
        <v>1218</v>
      </c>
      <c r="F816" s="6" t="s">
        <v>36</v>
      </c>
      <c r="G816" s="64" t="s">
        <v>1256</v>
      </c>
      <c r="I816" s="13" t="str">
        <f>IFERROR(__xludf.DUMMYFUNCTION("if(isblank(A816),,split(A816,""ー""))"),"27-47")</f>
        <v>27-47</v>
      </c>
      <c r="K816" s="13" t="str">
        <f>IFERROR(__xludf.DUMMYFUNCTION("if(isblank(B816),,split(B816,""ー""))"),"27-60")</f>
        <v>27-60</v>
      </c>
    </row>
    <row r="817">
      <c r="A817" s="94" t="s">
        <v>1506</v>
      </c>
      <c r="B817" s="86" t="s">
        <v>1508</v>
      </c>
      <c r="C817" s="9"/>
      <c r="D817" s="6" t="s">
        <v>1378</v>
      </c>
      <c r="E817" s="6" t="s">
        <v>1218</v>
      </c>
      <c r="F817" s="6" t="s">
        <v>36</v>
      </c>
      <c r="G817" s="64" t="s">
        <v>1242</v>
      </c>
      <c r="I817" s="13" t="str">
        <f>IFERROR(__xludf.DUMMYFUNCTION("if(isblank(A817),,split(A817,""ー""))"),"27-47")</f>
        <v>27-47</v>
      </c>
      <c r="K817" s="13" t="str">
        <f>IFERROR(__xludf.DUMMYFUNCTION("if(isblank(B817),,split(B817,""ー""))"),"27-79")</f>
        <v>27-79</v>
      </c>
      <c r="Y817" s="4"/>
      <c r="Z817" s="4"/>
    </row>
    <row r="818">
      <c r="A818" s="15" t="s">
        <v>1509</v>
      </c>
      <c r="B818" s="16" t="s">
        <v>353</v>
      </c>
      <c r="C818" s="9"/>
      <c r="D818" s="10" t="s">
        <v>36</v>
      </c>
      <c r="E818" s="10" t="s">
        <v>1218</v>
      </c>
      <c r="F818" s="11" t="s">
        <v>355</v>
      </c>
      <c r="G818" s="64" t="s">
        <v>1337</v>
      </c>
      <c r="I818" s="13" t="str">
        <f>IFERROR(__xludf.DUMMYFUNCTION("if(isblank(A818),,split(A818,""ー""))"),"27-48")</f>
        <v>27-48</v>
      </c>
      <c r="K818" s="13" t="str">
        <f>IFERROR(__xludf.DUMMYFUNCTION("if(isblank(B818),,split(B818,""ー""))"),"20-2")</f>
        <v>20-2</v>
      </c>
    </row>
    <row r="819">
      <c r="A819" s="15" t="s">
        <v>1510</v>
      </c>
      <c r="B819" s="16" t="s">
        <v>353</v>
      </c>
      <c r="C819" s="9"/>
      <c r="D819" s="10" t="s">
        <v>36</v>
      </c>
      <c r="E819" s="10" t="s">
        <v>1218</v>
      </c>
      <c r="F819" s="11" t="s">
        <v>355</v>
      </c>
      <c r="G819" s="64" t="s">
        <v>1337</v>
      </c>
      <c r="I819" s="13" t="str">
        <f>IFERROR(__xludf.DUMMYFUNCTION("if(isblank(A819),,split(A819,""ー""))"),"27-49")</f>
        <v>27-49</v>
      </c>
      <c r="K819" s="13" t="str">
        <f>IFERROR(__xludf.DUMMYFUNCTION("if(isblank(B819),,split(B819,""ー""))"),"20-2")</f>
        <v>20-2</v>
      </c>
    </row>
    <row r="820">
      <c r="A820" s="94" t="s">
        <v>1511</v>
      </c>
      <c r="B820" s="86" t="s">
        <v>1345</v>
      </c>
      <c r="C820" s="9">
        <v>43879.0</v>
      </c>
      <c r="D820" s="6" t="s">
        <v>1512</v>
      </c>
      <c r="E820" s="6" t="s">
        <v>1218</v>
      </c>
      <c r="F820" s="6" t="s">
        <v>36</v>
      </c>
      <c r="G820" s="64" t="s">
        <v>1364</v>
      </c>
      <c r="I820" s="13" t="str">
        <f>IFERROR(__xludf.DUMMYFUNCTION("if(isblank(A820),,split(A820,""ー""))"),"27-5")</f>
        <v>27-5</v>
      </c>
      <c r="K820" s="13" t="str">
        <f>IFERROR(__xludf.DUMMYFUNCTION("if(isblank(B820),,split(B820,""ー""))"),"1-39")</f>
        <v>1-39</v>
      </c>
    </row>
    <row r="821">
      <c r="A821" s="94" t="s">
        <v>1511</v>
      </c>
      <c r="B821" s="86" t="s">
        <v>993</v>
      </c>
      <c r="C821" s="9">
        <v>43882.0</v>
      </c>
      <c r="D821" s="6" t="s">
        <v>1513</v>
      </c>
      <c r="E821" s="6" t="s">
        <v>1218</v>
      </c>
      <c r="F821" s="6" t="s">
        <v>1514</v>
      </c>
      <c r="G821" s="64" t="s">
        <v>1232</v>
      </c>
      <c r="I821" s="13" t="str">
        <f>IFERROR(__xludf.DUMMYFUNCTION("if(isblank(A821),,split(A821,""ー""))"),"27-5")</f>
        <v>27-5</v>
      </c>
      <c r="K821" s="13" t="str">
        <f>IFERROR(__xludf.DUMMYFUNCTION("if(isblank(B821),,split(B821,""ー""))"),"27-12")</f>
        <v>27-12</v>
      </c>
    </row>
    <row r="822">
      <c r="A822" s="94" t="s">
        <v>1511</v>
      </c>
      <c r="B822" s="86" t="s">
        <v>993</v>
      </c>
      <c r="C822" s="9">
        <v>43880.0</v>
      </c>
      <c r="D822" s="6" t="s">
        <v>1515</v>
      </c>
      <c r="E822" s="6" t="s">
        <v>1218</v>
      </c>
      <c r="F822" s="6" t="s">
        <v>355</v>
      </c>
      <c r="G822" s="64" t="s">
        <v>1232</v>
      </c>
      <c r="I822" s="13" t="str">
        <f>IFERROR(__xludf.DUMMYFUNCTION("if(isblank(A822),,split(A822,""ー""))"),"27-5")</f>
        <v>27-5</v>
      </c>
      <c r="K822" s="13" t="str">
        <f>IFERROR(__xludf.DUMMYFUNCTION("if(isblank(B822),,split(B822,""ー""))"),"27-12")</f>
        <v>27-12</v>
      </c>
    </row>
    <row r="823">
      <c r="A823" s="94" t="s">
        <v>1511</v>
      </c>
      <c r="B823" s="86" t="s">
        <v>1252</v>
      </c>
      <c r="C823" s="9">
        <v>43884.0</v>
      </c>
      <c r="D823" s="6" t="s">
        <v>1516</v>
      </c>
      <c r="E823" s="6" t="s">
        <v>1218</v>
      </c>
      <c r="F823" s="6" t="s">
        <v>355</v>
      </c>
      <c r="G823" s="64" t="s">
        <v>1232</v>
      </c>
      <c r="I823" s="13" t="str">
        <f>IFERROR(__xludf.DUMMYFUNCTION("if(isblank(A823),,split(A823,""ー""))"),"27-5")</f>
        <v>27-5</v>
      </c>
      <c r="K823" s="13" t="str">
        <f>IFERROR(__xludf.DUMMYFUNCTION("if(isblank(B823),,split(B823,""ー""))"),"27-13")</f>
        <v>27-13</v>
      </c>
    </row>
    <row r="824">
      <c r="A824" s="94" t="s">
        <v>1511</v>
      </c>
      <c r="B824" s="86" t="s">
        <v>962</v>
      </c>
      <c r="C824" s="9">
        <v>43880.0</v>
      </c>
      <c r="D824" s="6" t="s">
        <v>1517</v>
      </c>
      <c r="E824" s="6" t="s">
        <v>1218</v>
      </c>
      <c r="F824" s="6" t="s">
        <v>355</v>
      </c>
      <c r="G824" s="64" t="s">
        <v>1232</v>
      </c>
      <c r="I824" s="13" t="str">
        <f>IFERROR(__xludf.DUMMYFUNCTION("if(isblank(A824),,split(A824,""ー""))"),"27-5")</f>
        <v>27-5</v>
      </c>
      <c r="K824" s="13" t="str">
        <f>IFERROR(__xludf.DUMMYFUNCTION("if(isblank(B824),,split(B824,""ー""))"),"27-15")</f>
        <v>27-15</v>
      </c>
    </row>
    <row r="825">
      <c r="A825" s="94" t="s">
        <v>1511</v>
      </c>
      <c r="B825" s="86" t="s">
        <v>1369</v>
      </c>
      <c r="C825" s="9">
        <v>43880.0</v>
      </c>
      <c r="D825" s="6" t="s">
        <v>1518</v>
      </c>
      <c r="E825" s="6" t="s">
        <v>1218</v>
      </c>
      <c r="F825" s="6" t="s">
        <v>355</v>
      </c>
      <c r="G825" s="64" t="s">
        <v>1254</v>
      </c>
      <c r="I825" s="13" t="str">
        <f>IFERROR(__xludf.DUMMYFUNCTION("if(isblank(A825),,split(A825,""ー""))"),"27-5")</f>
        <v>27-5</v>
      </c>
      <c r="K825" s="13" t="str">
        <f>IFERROR(__xludf.DUMMYFUNCTION("if(isblank(B825),,split(B825,""ー""))"),"27-20")</f>
        <v>27-20</v>
      </c>
    </row>
    <row r="826">
      <c r="A826" s="94" t="s">
        <v>1511</v>
      </c>
      <c r="B826" s="86" t="s">
        <v>1376</v>
      </c>
      <c r="C826" s="9">
        <v>43880.0</v>
      </c>
      <c r="D826" s="6" t="s">
        <v>1518</v>
      </c>
      <c r="E826" s="6" t="s">
        <v>1218</v>
      </c>
      <c r="F826" s="6" t="s">
        <v>355</v>
      </c>
      <c r="G826" s="64" t="s">
        <v>1254</v>
      </c>
      <c r="I826" s="13" t="str">
        <f>IFERROR(__xludf.DUMMYFUNCTION("if(isblank(A826),,split(A826,""ー""))"),"27-5")</f>
        <v>27-5</v>
      </c>
      <c r="K826" s="13" t="str">
        <f>IFERROR(__xludf.DUMMYFUNCTION("if(isblank(B826),,split(B826,""ー""))"),"27-21")</f>
        <v>27-21</v>
      </c>
    </row>
    <row r="827">
      <c r="A827" s="94" t="s">
        <v>1511</v>
      </c>
      <c r="B827" s="86" t="s">
        <v>1385</v>
      </c>
      <c r="C827" s="9">
        <v>43880.0</v>
      </c>
      <c r="D827" s="6" t="s">
        <v>1518</v>
      </c>
      <c r="E827" s="6" t="s">
        <v>1218</v>
      </c>
      <c r="F827" s="6" t="s">
        <v>355</v>
      </c>
      <c r="G827" s="64" t="s">
        <v>1254</v>
      </c>
      <c r="I827" s="13" t="str">
        <f>IFERROR(__xludf.DUMMYFUNCTION("if(isblank(A827),,split(A827,""ー""))"),"27-5")</f>
        <v>27-5</v>
      </c>
      <c r="K827" s="13" t="str">
        <f>IFERROR(__xludf.DUMMYFUNCTION("if(isblank(B827),,split(B827,""ー""))"),"27-22")</f>
        <v>27-22</v>
      </c>
    </row>
    <row r="828">
      <c r="A828" s="94" t="s">
        <v>1511</v>
      </c>
      <c r="B828" s="86" t="s">
        <v>1391</v>
      </c>
      <c r="C828" s="9">
        <v>43880.0</v>
      </c>
      <c r="D828" s="6" t="s">
        <v>1518</v>
      </c>
      <c r="E828" s="6" t="s">
        <v>1218</v>
      </c>
      <c r="F828" s="6" t="s">
        <v>355</v>
      </c>
      <c r="G828" s="64" t="s">
        <v>1254</v>
      </c>
      <c r="I828" s="13" t="str">
        <f>IFERROR(__xludf.DUMMYFUNCTION("if(isblank(A828),,split(A828,""ー""))"),"27-5")</f>
        <v>27-5</v>
      </c>
      <c r="K828" s="13" t="str">
        <f>IFERROR(__xludf.DUMMYFUNCTION("if(isblank(B828),,split(B828,""ー""))"),"27-23")</f>
        <v>27-23</v>
      </c>
    </row>
    <row r="829">
      <c r="A829" s="94" t="s">
        <v>1511</v>
      </c>
      <c r="B829" s="86" t="s">
        <v>1414</v>
      </c>
      <c r="C829" s="9">
        <v>43880.0</v>
      </c>
      <c r="D829" s="6" t="s">
        <v>1518</v>
      </c>
      <c r="E829" s="6" t="s">
        <v>1218</v>
      </c>
      <c r="F829" s="6" t="s">
        <v>355</v>
      </c>
      <c r="G829" s="64" t="s">
        <v>1254</v>
      </c>
      <c r="I829" s="13" t="str">
        <f>IFERROR(__xludf.DUMMYFUNCTION("if(isblank(A829),,split(A829,""ー""))"),"27-5")</f>
        <v>27-5</v>
      </c>
      <c r="K829" s="13" t="str">
        <f>IFERROR(__xludf.DUMMYFUNCTION("if(isblank(B829),,split(B829,""ー""))"),"27-26")</f>
        <v>27-26</v>
      </c>
    </row>
    <row r="830">
      <c r="A830" s="94" t="s">
        <v>1511</v>
      </c>
      <c r="B830" s="86" t="s">
        <v>1354</v>
      </c>
      <c r="C830" s="9">
        <v>43880.0</v>
      </c>
      <c r="D830" s="6" t="s">
        <v>1518</v>
      </c>
      <c r="E830" s="6" t="s">
        <v>1218</v>
      </c>
      <c r="F830" s="6" t="s">
        <v>355</v>
      </c>
      <c r="G830" s="64" t="s">
        <v>1254</v>
      </c>
      <c r="I830" s="13" t="str">
        <f>IFERROR(__xludf.DUMMYFUNCTION("if(isblank(A830),,split(A830,""ー""))"),"27-5")</f>
        <v>27-5</v>
      </c>
      <c r="K830" s="13" t="str">
        <f>IFERROR(__xludf.DUMMYFUNCTION("if(isblank(B830),,split(B830,""ー""))"),"27-27")</f>
        <v>27-27</v>
      </c>
    </row>
    <row r="831">
      <c r="A831" s="94" t="s">
        <v>1511</v>
      </c>
      <c r="B831" s="86" t="s">
        <v>1421</v>
      </c>
      <c r="C831" s="9">
        <v>43880.0</v>
      </c>
      <c r="D831" s="6" t="s">
        <v>1518</v>
      </c>
      <c r="E831" s="6" t="s">
        <v>1218</v>
      </c>
      <c r="F831" s="6" t="s">
        <v>355</v>
      </c>
      <c r="G831" s="64" t="s">
        <v>1254</v>
      </c>
      <c r="I831" s="13" t="str">
        <f>IFERROR(__xludf.DUMMYFUNCTION("if(isblank(A831),,split(A831,""ー""))"),"27-5")</f>
        <v>27-5</v>
      </c>
      <c r="K831" s="13" t="str">
        <f>IFERROR(__xludf.DUMMYFUNCTION("if(isblank(B831),,split(B831,""ー""))"),"27-28")</f>
        <v>27-28</v>
      </c>
    </row>
    <row r="832">
      <c r="A832" s="94" t="s">
        <v>1511</v>
      </c>
      <c r="B832" s="86" t="s">
        <v>1425</v>
      </c>
      <c r="C832" s="9">
        <v>43884.0</v>
      </c>
      <c r="D832" s="6" t="s">
        <v>1516</v>
      </c>
      <c r="E832" s="6" t="s">
        <v>1218</v>
      </c>
      <c r="F832" s="6" t="s">
        <v>355</v>
      </c>
      <c r="G832" s="64" t="s">
        <v>1254</v>
      </c>
      <c r="I832" s="13" t="str">
        <f>IFERROR(__xludf.DUMMYFUNCTION("if(isblank(A832),,split(A832,""ー""))"),"27-5")</f>
        <v>27-5</v>
      </c>
      <c r="K832" s="13" t="str">
        <f>IFERROR(__xludf.DUMMYFUNCTION("if(isblank(B832),,split(B832,""ー""))"),"27-29")</f>
        <v>27-29</v>
      </c>
    </row>
    <row r="833">
      <c r="A833" s="94" t="s">
        <v>1511</v>
      </c>
      <c r="B833" s="86" t="s">
        <v>1519</v>
      </c>
      <c r="C833" s="9"/>
      <c r="D833" s="6" t="s">
        <v>1520</v>
      </c>
      <c r="E833" s="6" t="s">
        <v>1218</v>
      </c>
      <c r="F833" s="6" t="s">
        <v>36</v>
      </c>
      <c r="G833" s="64" t="s">
        <v>1254</v>
      </c>
      <c r="I833" s="13" t="str">
        <f>IFERROR(__xludf.DUMMYFUNCTION("if(isblank(A833),,split(A833,""ー""))"),"27-5")</f>
        <v>27-5</v>
      </c>
      <c r="K833" s="13" t="str">
        <f>IFERROR(__xludf.DUMMYFUNCTION("if(isblank(B833),,split(B833,""ー""))"),"27-31")</f>
        <v>27-31</v>
      </c>
    </row>
    <row r="834">
      <c r="A834" s="94" t="s">
        <v>1511</v>
      </c>
      <c r="B834" s="86" t="s">
        <v>1358</v>
      </c>
      <c r="C834" s="9">
        <v>43880.0</v>
      </c>
      <c r="D834" s="6" t="s">
        <v>1521</v>
      </c>
      <c r="E834" s="6" t="s">
        <v>1218</v>
      </c>
      <c r="F834" s="6" t="s">
        <v>355</v>
      </c>
      <c r="G834" s="64" t="s">
        <v>1237</v>
      </c>
      <c r="I834" s="13" t="str">
        <f>IFERROR(__xludf.DUMMYFUNCTION("if(isblank(A834),,split(A834,""ー""))"),"27-5")</f>
        <v>27-5</v>
      </c>
      <c r="K834" s="13" t="str">
        <f>IFERROR(__xludf.DUMMYFUNCTION("if(isblank(B834),,split(B834,""ー""))"),"27-33")</f>
        <v>27-33</v>
      </c>
    </row>
    <row r="835">
      <c r="A835" s="94" t="s">
        <v>1511</v>
      </c>
      <c r="B835" s="86" t="s">
        <v>1358</v>
      </c>
      <c r="C835" s="9">
        <v>43876.0</v>
      </c>
      <c r="D835" s="6" t="s">
        <v>1521</v>
      </c>
      <c r="E835" s="6" t="s">
        <v>1218</v>
      </c>
      <c r="F835" s="6" t="s">
        <v>355</v>
      </c>
      <c r="G835" s="64" t="s">
        <v>1237</v>
      </c>
      <c r="I835" s="13" t="str">
        <f>IFERROR(__xludf.DUMMYFUNCTION("if(isblank(A835),,split(A835,""ー""))"),"27-5")</f>
        <v>27-5</v>
      </c>
      <c r="K835" s="13" t="str">
        <f>IFERROR(__xludf.DUMMYFUNCTION("if(isblank(B835),,split(B835,""ー""))"),"27-33")</f>
        <v>27-33</v>
      </c>
    </row>
    <row r="836">
      <c r="A836" s="94" t="s">
        <v>1511</v>
      </c>
      <c r="B836" s="86" t="s">
        <v>1238</v>
      </c>
      <c r="C836" s="9">
        <v>43880.0</v>
      </c>
      <c r="D836" s="6" t="s">
        <v>1515</v>
      </c>
      <c r="E836" s="6" t="s">
        <v>1218</v>
      </c>
      <c r="F836" s="6" t="s">
        <v>355</v>
      </c>
      <c r="G836" s="64" t="s">
        <v>1237</v>
      </c>
      <c r="I836" s="13" t="str">
        <f>IFERROR(__xludf.DUMMYFUNCTION("if(isblank(A836),,split(A836,""ー""))"),"27-5")</f>
        <v>27-5</v>
      </c>
      <c r="K836" s="13" t="str">
        <f>IFERROR(__xludf.DUMMYFUNCTION("if(isblank(B836),,split(B836,""ー""))"),"27-34")</f>
        <v>27-34</v>
      </c>
    </row>
    <row r="837">
      <c r="A837" s="94" t="s">
        <v>1511</v>
      </c>
      <c r="B837" s="86" t="s">
        <v>1238</v>
      </c>
      <c r="C837" s="9">
        <v>43880.0</v>
      </c>
      <c r="D837" s="6" t="s">
        <v>1515</v>
      </c>
      <c r="E837" s="6" t="s">
        <v>1218</v>
      </c>
      <c r="F837" s="6" t="s">
        <v>355</v>
      </c>
      <c r="G837" s="64" t="s">
        <v>1237</v>
      </c>
      <c r="I837" s="13" t="str">
        <f>IFERROR(__xludf.DUMMYFUNCTION("if(isblank(A837),,split(A837,""ー""))"),"27-5")</f>
        <v>27-5</v>
      </c>
      <c r="K837" s="13" t="str">
        <f>IFERROR(__xludf.DUMMYFUNCTION("if(isblank(B837),,split(B837,""ー""))"),"27-34")</f>
        <v>27-34</v>
      </c>
    </row>
    <row r="838">
      <c r="A838" s="94" t="s">
        <v>1511</v>
      </c>
      <c r="B838" s="86" t="s">
        <v>1467</v>
      </c>
      <c r="C838" s="9">
        <v>43880.0</v>
      </c>
      <c r="D838" s="6" t="s">
        <v>1518</v>
      </c>
      <c r="E838" s="6" t="s">
        <v>1218</v>
      </c>
      <c r="F838" s="6" t="s">
        <v>1522</v>
      </c>
      <c r="G838" s="64" t="s">
        <v>1237</v>
      </c>
      <c r="I838" s="13" t="str">
        <f>IFERROR(__xludf.DUMMYFUNCTION("if(isblank(A838),,split(A838,""ー""))"),"27-5")</f>
        <v>27-5</v>
      </c>
      <c r="K838" s="13" t="str">
        <f>IFERROR(__xludf.DUMMYFUNCTION("if(isblank(B838),,split(B838,""ー""))"),"27-36")</f>
        <v>27-36</v>
      </c>
    </row>
    <row r="839">
      <c r="A839" s="94" t="s">
        <v>1511</v>
      </c>
      <c r="B839" s="86" t="s">
        <v>1473</v>
      </c>
      <c r="C839" s="9">
        <v>43880.0</v>
      </c>
      <c r="D839" s="6" t="s">
        <v>1518</v>
      </c>
      <c r="E839" s="6" t="s">
        <v>1218</v>
      </c>
      <c r="F839" s="6" t="s">
        <v>355</v>
      </c>
      <c r="G839" s="64" t="s">
        <v>1237</v>
      </c>
      <c r="I839" s="13" t="str">
        <f>IFERROR(__xludf.DUMMYFUNCTION("if(isblank(A839),,split(A839,""ー""))"),"27-5")</f>
        <v>27-5</v>
      </c>
      <c r="K839" s="13" t="str">
        <f>IFERROR(__xludf.DUMMYFUNCTION("if(isblank(B839),,split(B839,""ー""))"),"27-37")</f>
        <v>27-37</v>
      </c>
    </row>
    <row r="840">
      <c r="A840" s="94" t="s">
        <v>1511</v>
      </c>
      <c r="B840" s="86" t="s">
        <v>1474</v>
      </c>
      <c r="C840" s="9">
        <v>43880.0</v>
      </c>
      <c r="D840" s="6" t="s">
        <v>1518</v>
      </c>
      <c r="E840" s="6" t="s">
        <v>1218</v>
      </c>
      <c r="F840" s="6" t="s">
        <v>355</v>
      </c>
      <c r="G840" s="64" t="s">
        <v>1237</v>
      </c>
      <c r="I840" s="13" t="str">
        <f>IFERROR(__xludf.DUMMYFUNCTION("if(isblank(A840),,split(A840,""ー""))"),"27-5")</f>
        <v>27-5</v>
      </c>
      <c r="K840" s="13" t="str">
        <f>IFERROR(__xludf.DUMMYFUNCTION("if(isblank(B840),,split(B840,""ー""))"),"27-38")</f>
        <v>27-38</v>
      </c>
    </row>
    <row r="841">
      <c r="A841" s="94" t="s">
        <v>1511</v>
      </c>
      <c r="B841" s="86" t="s">
        <v>1477</v>
      </c>
      <c r="C841" s="9">
        <v>43880.0</v>
      </c>
      <c r="D841" s="6" t="s">
        <v>1518</v>
      </c>
      <c r="E841" s="6" t="s">
        <v>1218</v>
      </c>
      <c r="F841" s="6" t="s">
        <v>355</v>
      </c>
      <c r="G841" s="64" t="s">
        <v>1237</v>
      </c>
      <c r="I841" s="13" t="str">
        <f>IFERROR(__xludf.DUMMYFUNCTION("if(isblank(A841),,split(A841,""ー""))"),"27-5")</f>
        <v>27-5</v>
      </c>
      <c r="K841" s="13" t="str">
        <f>IFERROR(__xludf.DUMMYFUNCTION("if(isblank(B841),,split(B841,""ー""))"),"27-39")</f>
        <v>27-39</v>
      </c>
    </row>
    <row r="842">
      <c r="A842" s="94" t="s">
        <v>1511</v>
      </c>
      <c r="B842" s="86" t="s">
        <v>1480</v>
      </c>
      <c r="C842" s="9">
        <v>43880.0</v>
      </c>
      <c r="D842" s="6" t="s">
        <v>1518</v>
      </c>
      <c r="E842" s="6" t="s">
        <v>1218</v>
      </c>
      <c r="F842" s="6" t="s">
        <v>355</v>
      </c>
      <c r="G842" s="64" t="s">
        <v>1237</v>
      </c>
      <c r="I842" s="13" t="str">
        <f>IFERROR(__xludf.DUMMYFUNCTION("if(isblank(A842),,split(A842,""ー""))"),"27-5")</f>
        <v>27-5</v>
      </c>
      <c r="K842" s="13" t="str">
        <f>IFERROR(__xludf.DUMMYFUNCTION("if(isblank(B842),,split(B842,""ー""))"),"27-40")</f>
        <v>27-40</v>
      </c>
    </row>
    <row r="843">
      <c r="A843" s="94" t="s">
        <v>1511</v>
      </c>
      <c r="B843" s="86" t="s">
        <v>1491</v>
      </c>
      <c r="C843" s="9">
        <v>43880.0</v>
      </c>
      <c r="D843" s="6" t="s">
        <v>1518</v>
      </c>
      <c r="E843" s="6" t="s">
        <v>1218</v>
      </c>
      <c r="F843" s="6" t="s">
        <v>355</v>
      </c>
      <c r="G843" s="64" t="s">
        <v>1337</v>
      </c>
      <c r="I843" s="13" t="str">
        <f>IFERROR(__xludf.DUMMYFUNCTION("if(isblank(A843),,split(A843,""ー""))"),"27-5")</f>
        <v>27-5</v>
      </c>
      <c r="K843" s="13" t="str">
        <f>IFERROR(__xludf.DUMMYFUNCTION("if(isblank(B843),,split(B843,""ー""))"),"27-42")</f>
        <v>27-42</v>
      </c>
      <c r="AA843" s="4"/>
    </row>
    <row r="844">
      <c r="A844" s="94" t="s">
        <v>1511</v>
      </c>
      <c r="B844" s="86" t="s">
        <v>1497</v>
      </c>
      <c r="C844" s="9">
        <v>43880.0</v>
      </c>
      <c r="D844" s="6" t="s">
        <v>1518</v>
      </c>
      <c r="E844" s="6" t="s">
        <v>1218</v>
      </c>
      <c r="F844" s="6" t="s">
        <v>355</v>
      </c>
      <c r="G844" s="64" t="s">
        <v>1337</v>
      </c>
      <c r="I844" s="13" t="str">
        <f>IFERROR(__xludf.DUMMYFUNCTION("if(isblank(A844),,split(A844,""ー""))"),"27-5")</f>
        <v>27-5</v>
      </c>
      <c r="K844" s="13" t="str">
        <f>IFERROR(__xludf.DUMMYFUNCTION("if(isblank(B844),,split(B844,""ー""))"),"27-45")</f>
        <v>27-45</v>
      </c>
    </row>
    <row r="845">
      <c r="A845" s="94" t="s">
        <v>1511</v>
      </c>
      <c r="B845" s="86" t="s">
        <v>1498</v>
      </c>
      <c r="C845" s="9">
        <v>43880.0</v>
      </c>
      <c r="D845" s="6" t="s">
        <v>1518</v>
      </c>
      <c r="E845" s="6" t="s">
        <v>1218</v>
      </c>
      <c r="F845" s="6" t="s">
        <v>355</v>
      </c>
      <c r="G845" s="64" t="s">
        <v>1337</v>
      </c>
      <c r="I845" s="13" t="str">
        <f>IFERROR(__xludf.DUMMYFUNCTION("if(isblank(A845),,split(A845,""ー""))"),"27-5")</f>
        <v>27-5</v>
      </c>
      <c r="K845" s="13" t="str">
        <f>IFERROR(__xludf.DUMMYFUNCTION("if(isblank(B845),,split(B845,""ー""))"),"27-46")</f>
        <v>27-46</v>
      </c>
    </row>
    <row r="846">
      <c r="A846" s="94" t="s">
        <v>1511</v>
      </c>
      <c r="B846" s="86" t="s">
        <v>1506</v>
      </c>
      <c r="C846" s="9">
        <v>43880.0</v>
      </c>
      <c r="D846" s="6" t="s">
        <v>1518</v>
      </c>
      <c r="E846" s="6" t="s">
        <v>1218</v>
      </c>
      <c r="F846" s="6" t="s">
        <v>355</v>
      </c>
      <c r="G846" s="64" t="s">
        <v>1337</v>
      </c>
      <c r="I846" s="13" t="str">
        <f>IFERROR(__xludf.DUMMYFUNCTION("if(isblank(A846),,split(A846,""ー""))"),"27-5")</f>
        <v>27-5</v>
      </c>
      <c r="K846" s="13" t="str">
        <f>IFERROR(__xludf.DUMMYFUNCTION("if(isblank(B846),,split(B846,""ー""))"),"27-47")</f>
        <v>27-47</v>
      </c>
    </row>
    <row r="847">
      <c r="A847" s="94" t="s">
        <v>1511</v>
      </c>
      <c r="B847" s="86" t="s">
        <v>1509</v>
      </c>
      <c r="C847" s="9">
        <v>43880.0</v>
      </c>
      <c r="D847" s="6" t="s">
        <v>1515</v>
      </c>
      <c r="E847" s="6" t="s">
        <v>1218</v>
      </c>
      <c r="F847" s="6" t="s">
        <v>355</v>
      </c>
      <c r="G847" s="64" t="s">
        <v>1337</v>
      </c>
      <c r="I847" s="13" t="str">
        <f>IFERROR(__xludf.DUMMYFUNCTION("if(isblank(A847),,split(A847,""ー""))"),"27-5")</f>
        <v>27-5</v>
      </c>
      <c r="K847" s="13" t="str">
        <f>IFERROR(__xludf.DUMMYFUNCTION("if(isblank(B847),,split(B847,""ー""))"),"27-48")</f>
        <v>27-48</v>
      </c>
    </row>
    <row r="848">
      <c r="A848" s="94" t="s">
        <v>1511</v>
      </c>
      <c r="B848" s="86" t="s">
        <v>1510</v>
      </c>
      <c r="C848" s="9">
        <v>43884.0</v>
      </c>
      <c r="D848" s="6" t="s">
        <v>1521</v>
      </c>
      <c r="E848" s="6" t="s">
        <v>1218</v>
      </c>
      <c r="F848" s="6" t="s">
        <v>355</v>
      </c>
      <c r="G848" s="64" t="s">
        <v>1337</v>
      </c>
      <c r="I848" s="13" t="str">
        <f>IFERROR(__xludf.DUMMYFUNCTION("if(isblank(A848),,split(A848,""ー""))"),"27-5")</f>
        <v>27-5</v>
      </c>
      <c r="K848" s="13" t="str">
        <f>IFERROR(__xludf.DUMMYFUNCTION("if(isblank(B848),,split(B848,""ー""))"),"27-49")</f>
        <v>27-49</v>
      </c>
    </row>
    <row r="849">
      <c r="A849" s="94" t="s">
        <v>1511</v>
      </c>
      <c r="B849" s="86" t="s">
        <v>1361</v>
      </c>
      <c r="C849" s="9">
        <v>43885.0</v>
      </c>
      <c r="D849" s="6" t="s">
        <v>1523</v>
      </c>
      <c r="E849" s="6" t="s">
        <v>1218</v>
      </c>
      <c r="F849" s="6" t="s">
        <v>355</v>
      </c>
      <c r="G849" s="64" t="s">
        <v>1256</v>
      </c>
      <c r="I849" s="13" t="str">
        <f>IFERROR(__xludf.DUMMYFUNCTION("if(isblank(A849),,split(A849,""ー""))"),"27-5")</f>
        <v>27-5</v>
      </c>
      <c r="K849" s="13" t="str">
        <f>IFERROR(__xludf.DUMMYFUNCTION("if(isblank(B849),,split(B849,""ー""))"),"27-58")</f>
        <v>27-58</v>
      </c>
    </row>
    <row r="850">
      <c r="A850" s="94" t="s">
        <v>1511</v>
      </c>
      <c r="B850" s="86" t="s">
        <v>1361</v>
      </c>
      <c r="C850" s="9">
        <v>43885.0</v>
      </c>
      <c r="D850" s="6" t="s">
        <v>1523</v>
      </c>
      <c r="E850" s="6" t="s">
        <v>1218</v>
      </c>
      <c r="F850" s="6" t="s">
        <v>355</v>
      </c>
      <c r="G850" s="64" t="s">
        <v>1256</v>
      </c>
      <c r="I850" s="13" t="str">
        <f>IFERROR(__xludf.DUMMYFUNCTION("if(isblank(A850),,split(A850,""ー""))"),"27-5")</f>
        <v>27-5</v>
      </c>
      <c r="K850" s="13" t="str">
        <f>IFERROR(__xludf.DUMMYFUNCTION("if(isblank(B850),,split(B850,""ー""))"),"27-58")</f>
        <v>27-58</v>
      </c>
    </row>
    <row r="851">
      <c r="A851" s="94" t="s">
        <v>1511</v>
      </c>
      <c r="B851" s="86" t="s">
        <v>1362</v>
      </c>
      <c r="C851" s="9">
        <v>43883.0</v>
      </c>
      <c r="D851" s="6" t="s">
        <v>1524</v>
      </c>
      <c r="E851" s="6" t="s">
        <v>1218</v>
      </c>
      <c r="F851" s="6" t="s">
        <v>36</v>
      </c>
      <c r="G851" s="64" t="s">
        <v>1364</v>
      </c>
      <c r="I851" s="13" t="str">
        <f>IFERROR(__xludf.DUMMYFUNCTION("if(isblank(A851),,split(A851,""ー""))"),"27-5")</f>
        <v>27-5</v>
      </c>
      <c r="K851" s="13" t="str">
        <f>IFERROR(__xludf.DUMMYFUNCTION("if(isblank(B851),,split(B851,""ー""))"),"27-6")</f>
        <v>27-6</v>
      </c>
    </row>
    <row r="852">
      <c r="A852" s="94" t="s">
        <v>1511</v>
      </c>
      <c r="B852" s="86" t="s">
        <v>1525</v>
      </c>
      <c r="C852" s="9">
        <v>43885.0</v>
      </c>
      <c r="D852" s="6" t="s">
        <v>1523</v>
      </c>
      <c r="E852" s="6" t="s">
        <v>1218</v>
      </c>
      <c r="F852" s="6" t="s">
        <v>355</v>
      </c>
      <c r="G852" s="64" t="s">
        <v>1256</v>
      </c>
      <c r="I852" s="13" t="str">
        <f>IFERROR(__xludf.DUMMYFUNCTION("if(isblank(A852),,split(A852,""ー""))"),"27-5")</f>
        <v>27-5</v>
      </c>
      <c r="K852" s="13" t="str">
        <f>IFERROR(__xludf.DUMMYFUNCTION("if(isblank(B852),,split(B852,""ー""))"),"27-62")</f>
        <v>27-62</v>
      </c>
    </row>
    <row r="853">
      <c r="A853" s="94" t="s">
        <v>1511</v>
      </c>
      <c r="B853" s="86" t="s">
        <v>1526</v>
      </c>
      <c r="C853" s="9">
        <v>43880.0</v>
      </c>
      <c r="D853" s="6" t="s">
        <v>1518</v>
      </c>
      <c r="E853" s="6" t="s">
        <v>1218</v>
      </c>
      <c r="F853" s="6" t="s">
        <v>355</v>
      </c>
      <c r="G853" s="64" t="s">
        <v>1256</v>
      </c>
      <c r="I853" s="13" t="str">
        <f>IFERROR(__xludf.DUMMYFUNCTION("if(isblank(A853),,split(A853,""ー""))"),"27-5")</f>
        <v>27-5</v>
      </c>
      <c r="K853" s="13" t="str">
        <f>IFERROR(__xludf.DUMMYFUNCTION("if(isblank(B853),,split(B853,""ー""))"),"27-63")</f>
        <v>27-63</v>
      </c>
    </row>
    <row r="854">
      <c r="A854" s="94" t="s">
        <v>1511</v>
      </c>
      <c r="B854" s="86" t="s">
        <v>1527</v>
      </c>
      <c r="C854" s="9">
        <v>43880.0</v>
      </c>
      <c r="D854" s="6" t="s">
        <v>1518</v>
      </c>
      <c r="E854" s="6" t="s">
        <v>1218</v>
      </c>
      <c r="F854" s="6" t="s">
        <v>355</v>
      </c>
      <c r="G854" s="64" t="s">
        <v>1256</v>
      </c>
      <c r="I854" s="13" t="str">
        <f>IFERROR(__xludf.DUMMYFUNCTION("if(isblank(A854),,split(A854,""ー""))"),"27-5")</f>
        <v>27-5</v>
      </c>
      <c r="K854" s="13" t="str">
        <f>IFERROR(__xludf.DUMMYFUNCTION("if(isblank(B854),,split(B854,""ー""))"),"27-64")</f>
        <v>27-64</v>
      </c>
    </row>
    <row r="855">
      <c r="A855" s="94" t="s">
        <v>1511</v>
      </c>
      <c r="B855" s="86" t="s">
        <v>1485</v>
      </c>
      <c r="C855" s="9">
        <v>43880.0</v>
      </c>
      <c r="D855" s="6" t="s">
        <v>1518</v>
      </c>
      <c r="E855" s="6" t="s">
        <v>1218</v>
      </c>
      <c r="F855" s="6" t="s">
        <v>355</v>
      </c>
      <c r="G855" s="64" t="s">
        <v>1242</v>
      </c>
      <c r="I855" s="13" t="str">
        <f>IFERROR(__xludf.DUMMYFUNCTION("if(isblank(A855),,split(A855,""ー""))"),"27-5")</f>
        <v>27-5</v>
      </c>
      <c r="K855" s="13" t="str">
        <f>IFERROR(__xludf.DUMMYFUNCTION("if(isblank(B855),,split(B855,""ー""))"),"27-76")</f>
        <v>27-76</v>
      </c>
    </row>
    <row r="856">
      <c r="A856" s="94" t="s">
        <v>1511</v>
      </c>
      <c r="B856" s="86" t="s">
        <v>1499</v>
      </c>
      <c r="C856" s="9">
        <v>43880.0</v>
      </c>
      <c r="D856" s="6" t="s">
        <v>1518</v>
      </c>
      <c r="E856" s="6" t="s">
        <v>1218</v>
      </c>
      <c r="F856" s="6" t="s">
        <v>355</v>
      </c>
      <c r="G856" s="64" t="s">
        <v>1242</v>
      </c>
      <c r="I856" s="13" t="str">
        <f>IFERROR(__xludf.DUMMYFUNCTION("if(isblank(A856),,split(A856,""ー""))"),"27-5")</f>
        <v>27-5</v>
      </c>
      <c r="K856" s="13" t="str">
        <f>IFERROR(__xludf.DUMMYFUNCTION("if(isblank(B856),,split(B856,""ー""))"),"27-77")</f>
        <v>27-77</v>
      </c>
    </row>
    <row r="857">
      <c r="A857" s="94" t="s">
        <v>1511</v>
      </c>
      <c r="B857" s="86" t="s">
        <v>1241</v>
      </c>
      <c r="C857" s="9">
        <v>43885.0</v>
      </c>
      <c r="D857" s="6" t="s">
        <v>1523</v>
      </c>
      <c r="E857" s="6" t="s">
        <v>1218</v>
      </c>
      <c r="F857" s="6" t="s">
        <v>355</v>
      </c>
      <c r="G857" s="64" t="s">
        <v>1242</v>
      </c>
      <c r="I857" s="13" t="str">
        <f>IFERROR(__xludf.DUMMYFUNCTION("if(isblank(A857),,split(A857,""ー""))"),"27-5")</f>
        <v>27-5</v>
      </c>
      <c r="K857" s="13" t="str">
        <f>IFERROR(__xludf.DUMMYFUNCTION("if(isblank(B857),,split(B857,""ー""))"),"27-80")</f>
        <v>27-80</v>
      </c>
    </row>
    <row r="858">
      <c r="A858" s="15" t="s">
        <v>1528</v>
      </c>
      <c r="B858" s="16" t="s">
        <v>353</v>
      </c>
      <c r="C858" s="9"/>
      <c r="D858" s="10" t="s">
        <v>36</v>
      </c>
      <c r="E858" s="10" t="s">
        <v>1218</v>
      </c>
      <c r="F858" s="11" t="s">
        <v>355</v>
      </c>
      <c r="G858" s="100" t="s">
        <v>1337</v>
      </c>
      <c r="I858" s="13" t="str">
        <f>IFERROR(__xludf.DUMMYFUNCTION("if(isblank(A858),,split(A858,""ー""))"),"27-50")</f>
        <v>27-50</v>
      </c>
      <c r="K858" s="13" t="str">
        <f>IFERROR(__xludf.DUMMYFUNCTION("if(isblank(B858),,split(B858,""ー""))"),"20-2")</f>
        <v>20-2</v>
      </c>
    </row>
    <row r="859">
      <c r="A859" s="15" t="s">
        <v>1496</v>
      </c>
      <c r="B859" s="16" t="s">
        <v>1334</v>
      </c>
      <c r="C859" s="9"/>
      <c r="D859" s="10" t="s">
        <v>165</v>
      </c>
      <c r="E859" s="10" t="s">
        <v>1218</v>
      </c>
      <c r="F859" s="11" t="s">
        <v>36</v>
      </c>
      <c r="G859" s="101" t="s">
        <v>1335</v>
      </c>
      <c r="I859" s="13" t="str">
        <f>IFERROR(__xludf.DUMMYFUNCTION("if(isblank(A859),,split(A859,""ー""))"),"27-52")</f>
        <v>27-52</v>
      </c>
      <c r="K859" s="13" t="str">
        <f>IFERROR(__xludf.DUMMYFUNCTION("if(isblank(B859),,split(B859,""ー""))"),"27-118")</f>
        <v>27-118</v>
      </c>
    </row>
    <row r="860">
      <c r="A860" s="15" t="s">
        <v>1496</v>
      </c>
      <c r="B860" s="16" t="s">
        <v>1334</v>
      </c>
      <c r="C860" s="9"/>
      <c r="D860" s="10" t="s">
        <v>165</v>
      </c>
      <c r="E860" s="10" t="s">
        <v>1218</v>
      </c>
      <c r="F860" s="11" t="s">
        <v>36</v>
      </c>
      <c r="G860" s="12" t="s">
        <v>1335</v>
      </c>
      <c r="I860" s="13" t="str">
        <f>IFERROR(__xludf.DUMMYFUNCTION("if(isblank(A860),,split(A860,""ー""))"),"27-52")</f>
        <v>27-52</v>
      </c>
      <c r="K860" s="13" t="str">
        <f>IFERROR(__xludf.DUMMYFUNCTION("if(isblank(B860),,split(B860,""ー""))"),"27-118")</f>
        <v>27-118</v>
      </c>
    </row>
    <row r="861">
      <c r="A861" s="15" t="s">
        <v>1529</v>
      </c>
      <c r="B861" s="16" t="s">
        <v>353</v>
      </c>
      <c r="C861" s="9">
        <v>43880.0</v>
      </c>
      <c r="D861" s="10" t="s">
        <v>36</v>
      </c>
      <c r="E861" s="10" t="s">
        <v>1218</v>
      </c>
      <c r="F861" s="11" t="s">
        <v>355</v>
      </c>
      <c r="G861" s="64" t="s">
        <v>1337</v>
      </c>
      <c r="I861" s="13" t="str">
        <f>IFERROR(__xludf.DUMMYFUNCTION("if(isblank(A861),,split(A861,""ー""))"),"27-53")</f>
        <v>27-53</v>
      </c>
      <c r="K861" s="13" t="str">
        <f>IFERROR(__xludf.DUMMYFUNCTION("if(isblank(B861),,split(B861,""ー""))"),"20-2")</f>
        <v>20-2</v>
      </c>
    </row>
    <row r="862">
      <c r="A862" s="94" t="s">
        <v>1530</v>
      </c>
      <c r="B862" s="86" t="s">
        <v>1531</v>
      </c>
      <c r="C862" s="9"/>
      <c r="D862" s="6" t="s">
        <v>1378</v>
      </c>
      <c r="E862" s="6" t="s">
        <v>1218</v>
      </c>
      <c r="F862" s="6" t="s">
        <v>36</v>
      </c>
      <c r="G862" s="64" t="s">
        <v>1256</v>
      </c>
      <c r="I862" s="13" t="str">
        <f>IFERROR(__xludf.DUMMYFUNCTION("if(isblank(A862),,split(A862,""ー""))"),"27-55")</f>
        <v>27-55</v>
      </c>
      <c r="K862" s="13" t="str">
        <f>IFERROR(__xludf.DUMMYFUNCTION("if(isblank(B862),,split(B862,""ー""))"),"27-65")</f>
        <v>27-65</v>
      </c>
    </row>
    <row r="863">
      <c r="A863" s="94" t="s">
        <v>1532</v>
      </c>
      <c r="B863" s="86" t="s">
        <v>1533</v>
      </c>
      <c r="C863" s="9"/>
      <c r="D863" s="6" t="s">
        <v>165</v>
      </c>
      <c r="E863" s="6" t="s">
        <v>1218</v>
      </c>
      <c r="F863" s="6" t="s">
        <v>36</v>
      </c>
      <c r="G863" s="102" t="s">
        <v>1534</v>
      </c>
      <c r="I863" s="13" t="str">
        <f>IFERROR(__xludf.DUMMYFUNCTION("if(isblank(A863),,split(A863,""ー""))"),"27-57")</f>
        <v>27-57</v>
      </c>
      <c r="K863" s="13" t="str">
        <f>IFERROR(__xludf.DUMMYFUNCTION("if(isblank(B863),,split(B863,""ー""))"),"27-104")</f>
        <v>27-104</v>
      </c>
    </row>
    <row r="864">
      <c r="A864" s="15" t="s">
        <v>1361</v>
      </c>
      <c r="B864" s="16" t="s">
        <v>353</v>
      </c>
      <c r="C864" s="9">
        <v>43885.0</v>
      </c>
      <c r="D864" s="10" t="s">
        <v>36</v>
      </c>
      <c r="E864" s="10" t="s">
        <v>1218</v>
      </c>
      <c r="F864" s="11" t="s">
        <v>355</v>
      </c>
      <c r="G864" s="103" t="s">
        <v>1256</v>
      </c>
      <c r="I864" s="13" t="str">
        <f>IFERROR(__xludf.DUMMYFUNCTION("if(isblank(A864),,split(A864,""ー""))"),"27-58")</f>
        <v>27-58</v>
      </c>
      <c r="K864" s="13" t="str">
        <f>IFERROR(__xludf.DUMMYFUNCTION("if(isblank(B864),,split(B864,""ー""))"),"20-2")</f>
        <v>20-2</v>
      </c>
    </row>
    <row r="865">
      <c r="A865" s="94" t="s">
        <v>1535</v>
      </c>
      <c r="B865" s="86" t="s">
        <v>1536</v>
      </c>
      <c r="C865" s="9"/>
      <c r="D865" s="6" t="s">
        <v>1378</v>
      </c>
      <c r="E865" s="6" t="s">
        <v>1218</v>
      </c>
      <c r="F865" s="6" t="s">
        <v>36</v>
      </c>
      <c r="G865" s="64" t="s">
        <v>1501</v>
      </c>
      <c r="I865" s="13" t="str">
        <f>IFERROR(__xludf.DUMMYFUNCTION("if(isblank(A865),,split(A865,""ー""))"),"27-59")</f>
        <v>27-59</v>
      </c>
      <c r="K865" s="13" t="str">
        <f>IFERROR(__xludf.DUMMYFUNCTION("if(isblank(B865),,split(B865,""ー""))"),"27-81")</f>
        <v>27-81</v>
      </c>
    </row>
    <row r="866">
      <c r="A866" s="94" t="s">
        <v>1507</v>
      </c>
      <c r="B866" s="86" t="s">
        <v>1537</v>
      </c>
      <c r="C866" s="9"/>
      <c r="D866" s="6" t="s">
        <v>1378</v>
      </c>
      <c r="E866" s="6" t="s">
        <v>1218</v>
      </c>
      <c r="F866" s="6" t="s">
        <v>36</v>
      </c>
      <c r="G866" s="64" t="s">
        <v>1234</v>
      </c>
      <c r="I866" s="13" t="str">
        <f>IFERROR(__xludf.DUMMYFUNCTION("if(isblank(A866),,split(A866,""ー""))"),"27-60")</f>
        <v>27-60</v>
      </c>
      <c r="K866" s="13" t="str">
        <f>IFERROR(__xludf.DUMMYFUNCTION("if(isblank(B866),,split(B866,""ー""))"),"27-110")</f>
        <v>27-110</v>
      </c>
    </row>
    <row r="867">
      <c r="A867" s="94" t="s">
        <v>1463</v>
      </c>
      <c r="B867" s="86" t="s">
        <v>1464</v>
      </c>
      <c r="C867" s="9"/>
      <c r="D867" s="6" t="s">
        <v>165</v>
      </c>
      <c r="E867" s="6" t="s">
        <v>1218</v>
      </c>
      <c r="F867" s="6" t="s">
        <v>36</v>
      </c>
      <c r="G867" s="64" t="s">
        <v>1501</v>
      </c>
      <c r="I867" s="13" t="str">
        <f>IFERROR(__xludf.DUMMYFUNCTION("if(isblank(A867),,split(A867,""ー""))"),"27-61")</f>
        <v>27-61</v>
      </c>
      <c r="K867" s="13" t="str">
        <f>IFERROR(__xludf.DUMMYFUNCTION("if(isblank(B867),,split(B867,""ー""))"),"27-83")</f>
        <v>27-83</v>
      </c>
    </row>
    <row r="868">
      <c r="A868" s="15" t="s">
        <v>1525</v>
      </c>
      <c r="B868" s="16" t="s">
        <v>353</v>
      </c>
      <c r="C868" s="9"/>
      <c r="D868" s="10" t="s">
        <v>36</v>
      </c>
      <c r="E868" s="10" t="s">
        <v>1218</v>
      </c>
      <c r="F868" s="11" t="s">
        <v>355</v>
      </c>
      <c r="G868" s="103" t="s">
        <v>1256</v>
      </c>
      <c r="I868" s="13" t="str">
        <f>IFERROR(__xludf.DUMMYFUNCTION("if(isblank(A868),,split(A868,""ー""))"),"27-62")</f>
        <v>27-62</v>
      </c>
      <c r="K868" s="13" t="str">
        <f>IFERROR(__xludf.DUMMYFUNCTION("if(isblank(B868),,split(B868,""ー""))"),"20-2")</f>
        <v>20-2</v>
      </c>
    </row>
    <row r="869">
      <c r="A869" s="15" t="s">
        <v>1526</v>
      </c>
      <c r="B869" s="16" t="s">
        <v>353</v>
      </c>
      <c r="C869" s="9"/>
      <c r="D869" s="10" t="s">
        <v>36</v>
      </c>
      <c r="E869" s="10" t="s">
        <v>1218</v>
      </c>
      <c r="F869" s="11" t="s">
        <v>355</v>
      </c>
      <c r="G869" s="103" t="s">
        <v>1256</v>
      </c>
      <c r="I869" s="13" t="str">
        <f>IFERROR(__xludf.DUMMYFUNCTION("if(isblank(A869),,split(A869,""ー""))"),"27-63")</f>
        <v>27-63</v>
      </c>
      <c r="K869" s="13" t="str">
        <f>IFERROR(__xludf.DUMMYFUNCTION("if(isblank(B869),,split(B869,""ー""))"),"20-2")</f>
        <v>20-2</v>
      </c>
    </row>
    <row r="870">
      <c r="A870" s="15" t="s">
        <v>1527</v>
      </c>
      <c r="B870" s="16" t="s">
        <v>353</v>
      </c>
      <c r="C870" s="9"/>
      <c r="D870" s="10" t="s">
        <v>36</v>
      </c>
      <c r="E870" s="10" t="s">
        <v>1218</v>
      </c>
      <c r="F870" s="11" t="s">
        <v>355</v>
      </c>
      <c r="G870" s="103" t="s">
        <v>1256</v>
      </c>
      <c r="I870" s="13" t="str">
        <f>IFERROR(__xludf.DUMMYFUNCTION("if(isblank(A870),,split(A870,""ー""))"),"27-64")</f>
        <v>27-64</v>
      </c>
      <c r="K870" s="13" t="str">
        <f>IFERROR(__xludf.DUMMYFUNCTION("if(isblank(B870),,split(B870,""ー""))"),"20-2")</f>
        <v>20-2</v>
      </c>
    </row>
    <row r="871">
      <c r="A871" s="94" t="s">
        <v>1289</v>
      </c>
      <c r="B871" s="86" t="s">
        <v>1538</v>
      </c>
      <c r="C871" s="9"/>
      <c r="D871" s="6" t="s">
        <v>165</v>
      </c>
      <c r="E871" s="6" t="s">
        <v>1218</v>
      </c>
      <c r="F871" s="6" t="s">
        <v>36</v>
      </c>
      <c r="G871" s="100" t="s">
        <v>1501</v>
      </c>
      <c r="I871" s="13" t="str">
        <f>IFERROR(__xludf.DUMMYFUNCTION("if(isblank(A871),,split(A871,""ー""))"),"27-67")</f>
        <v>27-67</v>
      </c>
      <c r="K871" s="13" t="str">
        <f>IFERROR(__xludf.DUMMYFUNCTION("if(isblank(B871),,split(B871,""ー""))"),"27-85")</f>
        <v>27-85</v>
      </c>
    </row>
    <row r="872">
      <c r="A872" s="94" t="s">
        <v>1289</v>
      </c>
      <c r="B872" s="86" t="s">
        <v>1539</v>
      </c>
      <c r="C872" s="9"/>
      <c r="D872" s="6" t="s">
        <v>165</v>
      </c>
      <c r="E872" s="6" t="s">
        <v>1218</v>
      </c>
      <c r="F872" s="6" t="s">
        <v>36</v>
      </c>
      <c r="G872" s="100" t="s">
        <v>1501</v>
      </c>
      <c r="I872" s="13" t="str">
        <f>IFERROR(__xludf.DUMMYFUNCTION("if(isblank(A872),,split(A872,""ー""))"),"27-67")</f>
        <v>27-67</v>
      </c>
      <c r="K872" s="13" t="str">
        <f>IFERROR(__xludf.DUMMYFUNCTION("if(isblank(B872),,split(B872,""ー""))"),"27-86")</f>
        <v>27-86</v>
      </c>
    </row>
    <row r="873">
      <c r="A873" s="94" t="s">
        <v>1540</v>
      </c>
      <c r="B873" s="86" t="s">
        <v>1541</v>
      </c>
      <c r="C873" s="9"/>
      <c r="D873" s="6" t="s">
        <v>1542</v>
      </c>
      <c r="E873" s="6" t="s">
        <v>1218</v>
      </c>
      <c r="F873" s="6" t="s">
        <v>36</v>
      </c>
      <c r="G873" s="100" t="s">
        <v>1232</v>
      </c>
      <c r="I873" s="13" t="str">
        <f>IFERROR(__xludf.DUMMYFUNCTION("if(isblank(A873),,split(A873,""ー""))"),"27-7")</f>
        <v>27-7</v>
      </c>
      <c r="K873" s="13" t="str">
        <f>IFERROR(__xludf.DUMMYFUNCTION("if(isblank(B873),,split(B873,""ー""))"),"27-14")</f>
        <v>27-14</v>
      </c>
    </row>
    <row r="874">
      <c r="A874" s="15" t="s">
        <v>1485</v>
      </c>
      <c r="B874" s="16" t="s">
        <v>353</v>
      </c>
      <c r="C874" s="9"/>
      <c r="D874" s="10" t="s">
        <v>36</v>
      </c>
      <c r="E874" s="10" t="s">
        <v>1218</v>
      </c>
      <c r="F874" s="11" t="s">
        <v>355</v>
      </c>
      <c r="G874" s="100" t="s">
        <v>1242</v>
      </c>
      <c r="I874" s="13" t="str">
        <f>IFERROR(__xludf.DUMMYFUNCTION("if(isblank(A874),,split(A874,""ー""))"),"27-76")</f>
        <v>27-76</v>
      </c>
      <c r="K874" s="13" t="str">
        <f>IFERROR(__xludf.DUMMYFUNCTION("if(isblank(B874),,split(B874,""ー""))"),"20-2")</f>
        <v>20-2</v>
      </c>
    </row>
    <row r="875">
      <c r="A875" s="15" t="s">
        <v>1499</v>
      </c>
      <c r="B875" s="16" t="s">
        <v>353</v>
      </c>
      <c r="C875" s="9"/>
      <c r="D875" s="10" t="s">
        <v>36</v>
      </c>
      <c r="E875" s="10" t="s">
        <v>1218</v>
      </c>
      <c r="F875" s="11" t="s">
        <v>355</v>
      </c>
      <c r="G875" s="100" t="s">
        <v>1242</v>
      </c>
      <c r="I875" s="13" t="str">
        <f>IFERROR(__xludf.DUMMYFUNCTION("if(isblank(A875),,split(A875,""ー""))"),"27-77")</f>
        <v>27-77</v>
      </c>
      <c r="K875" s="13" t="str">
        <f>IFERROR(__xludf.DUMMYFUNCTION("if(isblank(B875),,split(B875,""ー""))"),"20-2")</f>
        <v>20-2</v>
      </c>
    </row>
    <row r="876">
      <c r="A876" s="15" t="s">
        <v>1241</v>
      </c>
      <c r="B876" s="16" t="s">
        <v>353</v>
      </c>
      <c r="C876" s="9"/>
      <c r="D876" s="10" t="s">
        <v>36</v>
      </c>
      <c r="E876" s="10" t="s">
        <v>1218</v>
      </c>
      <c r="F876" s="11" t="s">
        <v>355</v>
      </c>
      <c r="G876" s="100" t="s">
        <v>1242</v>
      </c>
      <c r="I876" s="13" t="str">
        <f>IFERROR(__xludf.DUMMYFUNCTION("if(isblank(A876),,split(A876,""ー""))"),"27-80")</f>
        <v>27-80</v>
      </c>
      <c r="K876" s="13" t="str">
        <f>IFERROR(__xludf.DUMMYFUNCTION("if(isblank(B876),,split(B876,""ー""))"),"20-2")</f>
        <v>20-2</v>
      </c>
    </row>
    <row r="877">
      <c r="A877" s="94" t="s">
        <v>1538</v>
      </c>
      <c r="B877" s="86" t="s">
        <v>1543</v>
      </c>
      <c r="C877" s="9"/>
      <c r="D877" s="6" t="s">
        <v>1378</v>
      </c>
      <c r="E877" s="6" t="s">
        <v>1218</v>
      </c>
      <c r="F877" s="6" t="s">
        <v>36</v>
      </c>
      <c r="G877" s="102" t="s">
        <v>1544</v>
      </c>
      <c r="I877" s="13" t="str">
        <f>IFERROR(__xludf.DUMMYFUNCTION("if(isblank(A877),,split(A877,""ー""))"),"27-85")</f>
        <v>27-85</v>
      </c>
      <c r="K877" s="13" t="str">
        <f>IFERROR(__xludf.DUMMYFUNCTION("if(isblank(B877),,split(B877,""ー""))"),"27-100")</f>
        <v>27-100</v>
      </c>
    </row>
    <row r="878">
      <c r="A878" s="94" t="s">
        <v>1545</v>
      </c>
      <c r="B878" s="86" t="s">
        <v>1546</v>
      </c>
      <c r="C878" s="9"/>
      <c r="D878" s="6" t="s">
        <v>165</v>
      </c>
      <c r="E878" s="6" t="s">
        <v>1218</v>
      </c>
      <c r="F878" s="6" t="s">
        <v>36</v>
      </c>
      <c r="G878" s="100" t="s">
        <v>1501</v>
      </c>
      <c r="I878" s="13" t="str">
        <f>IFERROR(__xludf.DUMMYFUNCTION("if(isblank(A878),,split(A878,""ー""))"),"27-87")</f>
        <v>27-87</v>
      </c>
      <c r="K878" s="13" t="str">
        <f>IFERROR(__xludf.DUMMYFUNCTION("if(isblank(B878),,split(B878,""ー""))"),"27-88")</f>
        <v>27-88</v>
      </c>
    </row>
    <row r="879">
      <c r="A879" s="94" t="s">
        <v>1545</v>
      </c>
      <c r="B879" s="86" t="s">
        <v>1547</v>
      </c>
      <c r="C879" s="9"/>
      <c r="D879" s="6" t="s">
        <v>1378</v>
      </c>
      <c r="E879" s="6" t="s">
        <v>1218</v>
      </c>
      <c r="F879" s="6" t="s">
        <v>36</v>
      </c>
      <c r="G879" s="100" t="s">
        <v>1548</v>
      </c>
      <c r="I879" s="13" t="str">
        <f>IFERROR(__xludf.DUMMYFUNCTION("if(isblank(A879),,split(A879,""ー""))"),"27-87")</f>
        <v>27-87</v>
      </c>
      <c r="K879" s="13" t="str">
        <f>IFERROR(__xludf.DUMMYFUNCTION("if(isblank(B879),,split(B879,""ー""))"),"27-96")</f>
        <v>27-96</v>
      </c>
    </row>
    <row r="880">
      <c r="A880" s="94" t="s">
        <v>1545</v>
      </c>
      <c r="B880" s="86" t="s">
        <v>1549</v>
      </c>
      <c r="C880" s="9">
        <v>43882.0</v>
      </c>
      <c r="D880" s="6" t="s">
        <v>1550</v>
      </c>
      <c r="E880" s="6" t="s">
        <v>1218</v>
      </c>
      <c r="F880" s="6" t="s">
        <v>1551</v>
      </c>
      <c r="G880" s="102" t="s">
        <v>1552</v>
      </c>
      <c r="I880" s="13" t="str">
        <f>IFERROR(__xludf.DUMMYFUNCTION("if(isblank(A880),,split(A880,""ー""))"),"27-87")</f>
        <v>27-87</v>
      </c>
      <c r="K880" s="13" t="str">
        <f>IFERROR(__xludf.DUMMYFUNCTION("if(isblank(B880),,split(B880,""ー""))"),"42-1")</f>
        <v>42-1</v>
      </c>
    </row>
    <row r="881">
      <c r="A881" s="94" t="s">
        <v>1546</v>
      </c>
      <c r="B881" s="86" t="s">
        <v>1553</v>
      </c>
      <c r="C881" s="9">
        <v>43894.0</v>
      </c>
      <c r="D881" s="6" t="s">
        <v>1554</v>
      </c>
      <c r="E881" s="6" t="s">
        <v>1218</v>
      </c>
      <c r="F881" s="6" t="s">
        <v>36</v>
      </c>
      <c r="G881" s="100" t="s">
        <v>1555</v>
      </c>
      <c r="I881" s="13" t="str">
        <f>IFERROR(__xludf.DUMMYFUNCTION("if(isblank(A881),,split(A881,""ー""))"),"27-88")</f>
        <v>27-88</v>
      </c>
      <c r="K881" s="13" t="str">
        <f>IFERROR(__xludf.DUMMYFUNCTION("if(isblank(B881),,split(B881,""ー""))"),"27-103")</f>
        <v>27-103</v>
      </c>
    </row>
    <row r="882">
      <c r="A882" s="94" t="s">
        <v>1546</v>
      </c>
      <c r="B882" s="86" t="s">
        <v>1556</v>
      </c>
      <c r="C882" s="9">
        <v>43894.0</v>
      </c>
      <c r="D882" s="6" t="s">
        <v>1554</v>
      </c>
      <c r="E882" s="6" t="s">
        <v>1218</v>
      </c>
      <c r="F882" s="6" t="s">
        <v>36</v>
      </c>
      <c r="G882" s="100" t="s">
        <v>1234</v>
      </c>
      <c r="I882" s="13" t="str">
        <f>IFERROR(__xludf.DUMMYFUNCTION("if(isblank(A882),,split(A882,""ー""))"),"27-88")</f>
        <v>27-88</v>
      </c>
      <c r="K882" s="13" t="str">
        <f>IFERROR(__xludf.DUMMYFUNCTION("if(isblank(B882),,split(B882,""ー""))"),"27-109")</f>
        <v>27-109</v>
      </c>
    </row>
    <row r="883">
      <c r="A883" s="15" t="s">
        <v>1557</v>
      </c>
      <c r="B883" s="16" t="s">
        <v>1558</v>
      </c>
      <c r="C883" s="9"/>
      <c r="D883" s="10" t="s">
        <v>165</v>
      </c>
      <c r="E883" s="10" t="s">
        <v>1218</v>
      </c>
      <c r="F883" s="11" t="s">
        <v>36</v>
      </c>
      <c r="G883" s="12" t="s">
        <v>1559</v>
      </c>
      <c r="I883" s="13" t="str">
        <f>IFERROR(__xludf.DUMMYFUNCTION("if(isblank(A883),,split(A883,""ー""))"),"27-91")</f>
        <v>27-91</v>
      </c>
      <c r="K883" s="13" t="str">
        <f>IFERROR(__xludf.DUMMYFUNCTION("if(isblank(B883),,split(B883,""ー""))"),"27-113")</f>
        <v>27-113</v>
      </c>
    </row>
    <row r="884">
      <c r="A884" s="94" t="s">
        <v>1560</v>
      </c>
      <c r="B884" s="86" t="s">
        <v>1561</v>
      </c>
      <c r="C884" s="9"/>
      <c r="D884" s="6" t="s">
        <v>1378</v>
      </c>
      <c r="E884" s="6" t="s">
        <v>1218</v>
      </c>
      <c r="F884" s="6" t="s">
        <v>36</v>
      </c>
      <c r="G884" s="100" t="s">
        <v>1555</v>
      </c>
      <c r="I884" s="13" t="str">
        <f>IFERROR(__xludf.DUMMYFUNCTION("if(isblank(A884),,split(A884,""ー""))"),"27-95")</f>
        <v>27-95</v>
      </c>
      <c r="K884" s="13" t="str">
        <f>IFERROR(__xludf.DUMMYFUNCTION("if(isblank(B884),,split(B884,""ー""))"),"27-106")</f>
        <v>27-106</v>
      </c>
    </row>
    <row r="885">
      <c r="A885" s="94" t="s">
        <v>1547</v>
      </c>
      <c r="B885" s="86" t="s">
        <v>1226</v>
      </c>
      <c r="C885" s="9"/>
      <c r="D885" s="6" t="s">
        <v>1378</v>
      </c>
      <c r="E885" s="6" t="s">
        <v>1218</v>
      </c>
      <c r="F885" s="6" t="s">
        <v>36</v>
      </c>
      <c r="G885" s="100" t="s">
        <v>1227</v>
      </c>
      <c r="I885" s="13" t="str">
        <f>IFERROR(__xludf.DUMMYFUNCTION("if(isblank(A885),,split(A885,""ー""))"),"27-96")</f>
        <v>27-96</v>
      </c>
      <c r="K885" s="13" t="str">
        <f>IFERROR(__xludf.DUMMYFUNCTION("if(isblank(B885),,split(B885,""ー""))"),"27-108")</f>
        <v>27-108</v>
      </c>
    </row>
    <row r="886">
      <c r="A886" s="94" t="s">
        <v>1562</v>
      </c>
      <c r="B886" s="86" t="s">
        <v>1563</v>
      </c>
      <c r="C886" s="9"/>
      <c r="D886" s="6" t="s">
        <v>165</v>
      </c>
      <c r="E886" s="6" t="s">
        <v>1218</v>
      </c>
      <c r="F886" s="6" t="s">
        <v>36</v>
      </c>
      <c r="G886" s="64" t="s">
        <v>1234</v>
      </c>
      <c r="I886" s="13" t="str">
        <f>IFERROR(__xludf.DUMMYFUNCTION("if(isblank(A886),,split(A886,""ー""))"),"27-98")</f>
        <v>27-98</v>
      </c>
      <c r="K886" s="13" t="str">
        <f>IFERROR(__xludf.DUMMYFUNCTION("if(isblank(B886),,split(B886,""ー""))"),"27-112")</f>
        <v>27-112</v>
      </c>
    </row>
    <row r="887">
      <c r="A887" s="15" t="s">
        <v>1564</v>
      </c>
      <c r="B887" s="34" t="s">
        <v>1565</v>
      </c>
      <c r="C887" s="9"/>
      <c r="D887" s="35" t="s">
        <v>1566</v>
      </c>
      <c r="E887" s="10" t="s">
        <v>1567</v>
      </c>
      <c r="F887" s="11" t="s">
        <v>1568</v>
      </c>
      <c r="G887" s="12" t="s">
        <v>1569</v>
      </c>
      <c r="I887" s="13" t="str">
        <f>IFERROR(__xludf.DUMMYFUNCTION("if(isblank(A887),,split(A887,""ー""))"),"28-10")</f>
        <v>28-10</v>
      </c>
      <c r="K887" s="13" t="str">
        <f>IFERROR(__xludf.DUMMYFUNCTION("if(isblank(B887),,split(B887,""ー""))"),"28-100")</f>
        <v>28-100</v>
      </c>
    </row>
    <row r="888">
      <c r="A888" s="33" t="s">
        <v>1564</v>
      </c>
      <c r="B888" s="34" t="s">
        <v>1570</v>
      </c>
      <c r="C888" s="9"/>
      <c r="D888" s="35" t="s">
        <v>1566</v>
      </c>
      <c r="E888" s="10" t="s">
        <v>1567</v>
      </c>
      <c r="F888" s="11" t="s">
        <v>1568</v>
      </c>
      <c r="G888" s="37" t="s">
        <v>1571</v>
      </c>
      <c r="I888" s="13" t="str">
        <f>IFERROR(__xludf.DUMMYFUNCTION("if(isblank(A888),,split(A888,""ー""))"),"28-10")</f>
        <v>28-10</v>
      </c>
      <c r="K888" s="13" t="str">
        <f>IFERROR(__xludf.DUMMYFUNCTION("if(isblank(B888),,split(B888,""ー""))"),"28-106")</f>
        <v>28-106</v>
      </c>
    </row>
    <row r="889">
      <c r="A889" s="15" t="s">
        <v>1564</v>
      </c>
      <c r="B889" s="34" t="s">
        <v>1572</v>
      </c>
      <c r="C889" s="9"/>
      <c r="D889" s="35" t="s">
        <v>1566</v>
      </c>
      <c r="E889" s="10" t="s">
        <v>1567</v>
      </c>
      <c r="F889" s="11" t="s">
        <v>1568</v>
      </c>
      <c r="G889" s="37" t="s">
        <v>1573</v>
      </c>
      <c r="I889" s="13" t="str">
        <f>IFERROR(__xludf.DUMMYFUNCTION("if(isblank(A889),,split(A889,""ー""))"),"28-10")</f>
        <v>28-10</v>
      </c>
      <c r="K889" s="13" t="str">
        <f>IFERROR(__xludf.DUMMYFUNCTION("if(isblank(B889),,split(B889,""ー""))"),"28-107")</f>
        <v>28-107</v>
      </c>
    </row>
    <row r="890">
      <c r="A890" s="15" t="s">
        <v>1564</v>
      </c>
      <c r="B890" s="34" t="s">
        <v>1574</v>
      </c>
      <c r="C890" s="9"/>
      <c r="D890" s="35" t="s">
        <v>1566</v>
      </c>
      <c r="E890" s="10" t="s">
        <v>1567</v>
      </c>
      <c r="F890" s="11" t="s">
        <v>1568</v>
      </c>
      <c r="G890" s="37" t="s">
        <v>1575</v>
      </c>
      <c r="I890" s="13" t="str">
        <f>IFERROR(__xludf.DUMMYFUNCTION("if(isblank(A890),,split(A890,""ー""))"),"28-10")</f>
        <v>28-10</v>
      </c>
      <c r="K890" s="13" t="str">
        <f>IFERROR(__xludf.DUMMYFUNCTION("if(isblank(B890),,split(B890,""ー""))"),"28-110")</f>
        <v>28-110</v>
      </c>
    </row>
    <row r="891">
      <c r="A891" s="15" t="s">
        <v>1564</v>
      </c>
      <c r="B891" s="34" t="s">
        <v>1576</v>
      </c>
      <c r="C891" s="9"/>
      <c r="D891" s="35" t="s">
        <v>1566</v>
      </c>
      <c r="E891" s="10" t="s">
        <v>1567</v>
      </c>
      <c r="F891" s="11" t="s">
        <v>1568</v>
      </c>
      <c r="G891" s="37" t="s">
        <v>1577</v>
      </c>
      <c r="I891" s="13" t="str">
        <f>IFERROR(__xludf.DUMMYFUNCTION("if(isblank(A891),,split(A891,""ー""))"),"28-10")</f>
        <v>28-10</v>
      </c>
      <c r="K891" s="13" t="str">
        <f>IFERROR(__xludf.DUMMYFUNCTION("if(isblank(B891),,split(B891,""ー""))"),"28-111")</f>
        <v>28-111</v>
      </c>
    </row>
    <row r="892">
      <c r="A892" s="15" t="s">
        <v>1564</v>
      </c>
      <c r="B892" s="34" t="s">
        <v>1578</v>
      </c>
      <c r="C892" s="9"/>
      <c r="D892" s="35" t="s">
        <v>1566</v>
      </c>
      <c r="E892" s="10" t="s">
        <v>1567</v>
      </c>
      <c r="F892" s="11" t="s">
        <v>1568</v>
      </c>
      <c r="G892" s="12" t="s">
        <v>1579</v>
      </c>
      <c r="I892" s="13" t="str">
        <f>IFERROR(__xludf.DUMMYFUNCTION("if(isblank(A892),,split(A892,""ー""))"),"28-10")</f>
        <v>28-10</v>
      </c>
      <c r="K892" s="13" t="str">
        <f>IFERROR(__xludf.DUMMYFUNCTION("if(isblank(B892),,split(B892,""ー""))"),"28-116")</f>
        <v>28-116</v>
      </c>
    </row>
    <row r="893">
      <c r="A893" s="33" t="s">
        <v>1564</v>
      </c>
      <c r="B893" s="16" t="s">
        <v>1580</v>
      </c>
      <c r="C893" s="9"/>
      <c r="D893" s="35" t="s">
        <v>44</v>
      </c>
      <c r="E893" s="10" t="s">
        <v>1567</v>
      </c>
      <c r="F893" s="11" t="s">
        <v>1568</v>
      </c>
      <c r="G893" s="37" t="s">
        <v>1581</v>
      </c>
      <c r="I893" s="13" t="str">
        <f>IFERROR(__xludf.DUMMYFUNCTION("if(isblank(A893),,split(A893,""ー""))"),"28-10")</f>
        <v>28-10</v>
      </c>
      <c r="K893" s="13" t="str">
        <f>IFERROR(__xludf.DUMMYFUNCTION("if(isblank(B893),,split(B893,""ー""))"),"28-12")</f>
        <v>28-12</v>
      </c>
    </row>
    <row r="894">
      <c r="A894" s="33" t="s">
        <v>1564</v>
      </c>
      <c r="B894" s="34" t="s">
        <v>1582</v>
      </c>
      <c r="C894" s="9"/>
      <c r="D894" s="35" t="s">
        <v>1583</v>
      </c>
      <c r="E894" s="10" t="s">
        <v>1567</v>
      </c>
      <c r="F894" s="11" t="s">
        <v>1568</v>
      </c>
      <c r="G894" s="68" t="s">
        <v>1584</v>
      </c>
      <c r="I894" s="13" t="str">
        <f>IFERROR(__xludf.DUMMYFUNCTION("if(isblank(A894),,split(A894,""ー""))"),"28-10")</f>
        <v>28-10</v>
      </c>
      <c r="K894" s="13" t="str">
        <f>IFERROR(__xludf.DUMMYFUNCTION("if(isblank(B894),,split(B894,""ー""))"),"28-19")</f>
        <v>28-19</v>
      </c>
    </row>
    <row r="895">
      <c r="A895" s="33" t="s">
        <v>1564</v>
      </c>
      <c r="B895" s="34" t="s">
        <v>1585</v>
      </c>
      <c r="C895" s="9"/>
      <c r="D895" s="35" t="s">
        <v>1566</v>
      </c>
      <c r="E895" s="10" t="s">
        <v>1567</v>
      </c>
      <c r="F895" s="11" t="s">
        <v>1568</v>
      </c>
      <c r="G895" s="68" t="s">
        <v>1586</v>
      </c>
      <c r="I895" s="13" t="str">
        <f>IFERROR(__xludf.DUMMYFUNCTION("if(isblank(A895),,split(A895,""ー""))"),"28-10")</f>
        <v>28-10</v>
      </c>
      <c r="K895" s="13" t="str">
        <f>IFERROR(__xludf.DUMMYFUNCTION("if(isblank(B895),,split(B895,""ー""))"),"28-20")</f>
        <v>28-20</v>
      </c>
    </row>
    <row r="896">
      <c r="A896" s="33" t="s">
        <v>1564</v>
      </c>
      <c r="B896" s="34" t="s">
        <v>1587</v>
      </c>
      <c r="C896" s="9"/>
      <c r="D896" s="35" t="s">
        <v>1583</v>
      </c>
      <c r="E896" s="10" t="s">
        <v>1567</v>
      </c>
      <c r="F896" s="11" t="s">
        <v>1568</v>
      </c>
      <c r="G896" s="68" t="s">
        <v>1588</v>
      </c>
      <c r="I896" s="13" t="str">
        <f>IFERROR(__xludf.DUMMYFUNCTION("if(isblank(A896),,split(A896,""ー""))"),"28-10")</f>
        <v>28-10</v>
      </c>
      <c r="K896" s="13" t="str">
        <f>IFERROR(__xludf.DUMMYFUNCTION("if(isblank(B896),,split(B896,""ー""))"),"28-21")</f>
        <v>28-21</v>
      </c>
    </row>
    <row r="897">
      <c r="A897" s="33" t="s">
        <v>1564</v>
      </c>
      <c r="B897" s="34" t="s">
        <v>1589</v>
      </c>
      <c r="C897" s="9"/>
      <c r="D897" s="35" t="s">
        <v>1566</v>
      </c>
      <c r="E897" s="10" t="s">
        <v>1567</v>
      </c>
      <c r="F897" s="11" t="s">
        <v>1568</v>
      </c>
      <c r="G897" s="68" t="s">
        <v>1590</v>
      </c>
      <c r="I897" s="13" t="str">
        <f>IFERROR(__xludf.DUMMYFUNCTION("if(isblank(A897),,split(A897,""ー""))"),"28-10")</f>
        <v>28-10</v>
      </c>
      <c r="K897" s="13" t="str">
        <f>IFERROR(__xludf.DUMMYFUNCTION("if(isblank(B897),,split(B897,""ー""))"),"28-22")</f>
        <v>28-22</v>
      </c>
    </row>
    <row r="898">
      <c r="A898" s="33" t="s">
        <v>1564</v>
      </c>
      <c r="B898" s="34" t="s">
        <v>1591</v>
      </c>
      <c r="C898" s="9"/>
      <c r="D898" s="13"/>
      <c r="E898" s="10" t="s">
        <v>1567</v>
      </c>
      <c r="F898" s="13"/>
      <c r="G898" s="68" t="s">
        <v>1590</v>
      </c>
      <c r="I898" s="13" t="str">
        <f>IFERROR(__xludf.DUMMYFUNCTION("if(isblank(A898),,split(A898,""ー""))"),"28-10")</f>
        <v>28-10</v>
      </c>
      <c r="K898" s="13" t="str">
        <f>IFERROR(__xludf.DUMMYFUNCTION("if(isblank(B898),,split(B898,""ー""))"),"28-27")</f>
        <v>28-27</v>
      </c>
    </row>
    <row r="899">
      <c r="A899" s="33" t="s">
        <v>1564</v>
      </c>
      <c r="B899" s="34" t="s">
        <v>1592</v>
      </c>
      <c r="C899" s="9"/>
      <c r="D899" s="35" t="s">
        <v>1566</v>
      </c>
      <c r="E899" s="10" t="s">
        <v>1567</v>
      </c>
      <c r="F899" s="13"/>
      <c r="G899" s="68" t="s">
        <v>1590</v>
      </c>
      <c r="I899" s="13" t="str">
        <f>IFERROR(__xludf.DUMMYFUNCTION("if(isblank(A899),,split(A899,""ー""))"),"28-10")</f>
        <v>28-10</v>
      </c>
      <c r="K899" s="13" t="str">
        <f>IFERROR(__xludf.DUMMYFUNCTION("if(isblank(B899),,split(B899,""ー""))"),"28-28")</f>
        <v>28-28</v>
      </c>
    </row>
    <row r="900">
      <c r="A900" s="33" t="s">
        <v>1564</v>
      </c>
      <c r="B900" s="34" t="s">
        <v>1593</v>
      </c>
      <c r="C900" s="9"/>
      <c r="D900" s="35" t="s">
        <v>1566</v>
      </c>
      <c r="E900" s="10" t="s">
        <v>1567</v>
      </c>
      <c r="F900" s="11" t="s">
        <v>1568</v>
      </c>
      <c r="G900" s="103" t="s">
        <v>1590</v>
      </c>
      <c r="I900" s="13" t="str">
        <f>IFERROR(__xludf.DUMMYFUNCTION("if(isblank(A900),,split(A900,""ー""))"),"28-10")</f>
        <v>28-10</v>
      </c>
      <c r="K900" s="13" t="str">
        <f>IFERROR(__xludf.DUMMYFUNCTION("if(isblank(B900),,split(B900,""ー""))"),"28-43")</f>
        <v>28-43</v>
      </c>
    </row>
    <row r="901">
      <c r="A901" s="33" t="s">
        <v>1564</v>
      </c>
      <c r="B901" s="34" t="s">
        <v>1594</v>
      </c>
      <c r="C901" s="9"/>
      <c r="D901" s="35" t="s">
        <v>36</v>
      </c>
      <c r="E901" s="10" t="s">
        <v>1567</v>
      </c>
      <c r="F901" s="11" t="s">
        <v>1568</v>
      </c>
      <c r="G901" s="103" t="s">
        <v>1590</v>
      </c>
      <c r="I901" s="13" t="str">
        <f>IFERROR(__xludf.DUMMYFUNCTION("if(isblank(A901),,split(A901,""ー""))"),"28-10")</f>
        <v>28-10</v>
      </c>
      <c r="K901" s="13" t="str">
        <f>IFERROR(__xludf.DUMMYFUNCTION("if(isblank(B901),,split(B901,""ー""))"),"28-44")</f>
        <v>28-44</v>
      </c>
    </row>
    <row r="902">
      <c r="A902" s="33" t="s">
        <v>1564</v>
      </c>
      <c r="B902" s="34" t="s">
        <v>1595</v>
      </c>
      <c r="C902" s="9"/>
      <c r="D902" s="35" t="s">
        <v>1583</v>
      </c>
      <c r="E902" s="10" t="s">
        <v>1567</v>
      </c>
      <c r="F902" s="11" t="s">
        <v>1568</v>
      </c>
      <c r="G902" s="103" t="s">
        <v>1590</v>
      </c>
      <c r="I902" s="13" t="str">
        <f>IFERROR(__xludf.DUMMYFUNCTION("if(isblank(A902),,split(A902,""ー""))"),"28-10")</f>
        <v>28-10</v>
      </c>
      <c r="K902" s="13" t="str">
        <f>IFERROR(__xludf.DUMMYFUNCTION("if(isblank(B902),,split(B902,""ー""))"),"28-54")</f>
        <v>28-54</v>
      </c>
      <c r="M902" s="4"/>
      <c r="N902" s="4"/>
      <c r="O902" s="4"/>
      <c r="P902" s="4"/>
      <c r="Q902" s="4"/>
      <c r="R902" s="4"/>
      <c r="S902" s="4"/>
      <c r="T902" s="4"/>
      <c r="U902" s="4"/>
      <c r="V902" s="4"/>
      <c r="W902" s="4"/>
      <c r="X902" s="4"/>
    </row>
    <row r="903">
      <c r="A903" s="33" t="s">
        <v>1564</v>
      </c>
      <c r="B903" s="34" t="s">
        <v>1596</v>
      </c>
      <c r="C903" s="9"/>
      <c r="D903" s="35" t="s">
        <v>1566</v>
      </c>
      <c r="E903" s="10" t="s">
        <v>1567</v>
      </c>
      <c r="F903" s="11" t="s">
        <v>1568</v>
      </c>
      <c r="G903" s="103" t="s">
        <v>1597</v>
      </c>
      <c r="I903" s="13" t="str">
        <f>IFERROR(__xludf.DUMMYFUNCTION("if(isblank(A903),,split(A903,""ー""))"),"28-10")</f>
        <v>28-10</v>
      </c>
      <c r="K903" s="13" t="str">
        <f>IFERROR(__xludf.DUMMYFUNCTION("if(isblank(B903),,split(B903,""ー""))"),"28-57")</f>
        <v>28-57</v>
      </c>
    </row>
    <row r="904">
      <c r="A904" s="33" t="s">
        <v>1564</v>
      </c>
      <c r="B904" s="34" t="s">
        <v>1598</v>
      </c>
      <c r="C904" s="9"/>
      <c r="D904" s="35" t="s">
        <v>1583</v>
      </c>
      <c r="E904" s="10" t="s">
        <v>1567</v>
      </c>
      <c r="F904" s="11" t="s">
        <v>1568</v>
      </c>
      <c r="G904" s="103" t="s">
        <v>1590</v>
      </c>
      <c r="I904" s="13" t="str">
        <f>IFERROR(__xludf.DUMMYFUNCTION("if(isblank(A904),,split(A904,""ー""))"),"28-10")</f>
        <v>28-10</v>
      </c>
      <c r="K904" s="13" t="str">
        <f>IFERROR(__xludf.DUMMYFUNCTION("if(isblank(B904),,split(B904,""ー""))"),"28-58")</f>
        <v>28-58</v>
      </c>
    </row>
    <row r="905">
      <c r="A905" s="33" t="s">
        <v>1564</v>
      </c>
      <c r="B905" s="34" t="s">
        <v>1599</v>
      </c>
      <c r="C905" s="9"/>
      <c r="D905" s="35" t="s">
        <v>1583</v>
      </c>
      <c r="E905" s="10" t="s">
        <v>1567</v>
      </c>
      <c r="F905" s="11" t="s">
        <v>1568</v>
      </c>
      <c r="G905" s="103" t="s">
        <v>1590</v>
      </c>
      <c r="I905" s="13" t="str">
        <f>IFERROR(__xludf.DUMMYFUNCTION("if(isblank(A905),,split(A905,""ー""))"),"28-10")</f>
        <v>28-10</v>
      </c>
      <c r="K905" s="13" t="str">
        <f>IFERROR(__xludf.DUMMYFUNCTION("if(isblank(B905),,split(B905,""ー""))"),"28-59")</f>
        <v>28-59</v>
      </c>
    </row>
    <row r="906">
      <c r="A906" s="33" t="s">
        <v>1564</v>
      </c>
      <c r="B906" s="34" t="s">
        <v>1600</v>
      </c>
      <c r="C906" s="9"/>
      <c r="D906" s="35" t="s">
        <v>1583</v>
      </c>
      <c r="E906" s="10" t="s">
        <v>1567</v>
      </c>
      <c r="F906" s="11" t="s">
        <v>1568</v>
      </c>
      <c r="G906" s="103" t="s">
        <v>1590</v>
      </c>
      <c r="I906" s="13" t="str">
        <f>IFERROR(__xludf.DUMMYFUNCTION("if(isblank(A906),,split(A906,""ー""))"),"28-10")</f>
        <v>28-10</v>
      </c>
      <c r="K906" s="13" t="str">
        <f>IFERROR(__xludf.DUMMYFUNCTION("if(isblank(B906),,split(B906,""ー""))"),"28-60")</f>
        <v>28-60</v>
      </c>
    </row>
    <row r="907">
      <c r="A907" s="33" t="s">
        <v>1564</v>
      </c>
      <c r="B907" s="34" t="s">
        <v>1601</v>
      </c>
      <c r="C907" s="9"/>
      <c r="D907" s="35" t="s">
        <v>1583</v>
      </c>
      <c r="E907" s="10" t="s">
        <v>1567</v>
      </c>
      <c r="F907" s="11" t="s">
        <v>1568</v>
      </c>
      <c r="G907" s="103" t="s">
        <v>1590</v>
      </c>
      <c r="I907" s="13" t="str">
        <f>IFERROR(__xludf.DUMMYFUNCTION("if(isblank(A907),,split(A907,""ー""))"),"28-10")</f>
        <v>28-10</v>
      </c>
      <c r="K907" s="13" t="str">
        <f>IFERROR(__xludf.DUMMYFUNCTION("if(isblank(B907),,split(B907,""ー""))"),"28-61")</f>
        <v>28-61</v>
      </c>
    </row>
    <row r="908">
      <c r="A908" s="33" t="s">
        <v>1564</v>
      </c>
      <c r="B908" s="34" t="s">
        <v>1602</v>
      </c>
      <c r="C908" s="9"/>
      <c r="D908" s="13"/>
      <c r="E908" s="10" t="s">
        <v>1567</v>
      </c>
      <c r="F908" s="11" t="s">
        <v>1568</v>
      </c>
      <c r="G908" s="103" t="s">
        <v>1590</v>
      </c>
      <c r="I908" s="13" t="str">
        <f>IFERROR(__xludf.DUMMYFUNCTION("if(isblank(A908),,split(A908,""ー""))"),"28-10")</f>
        <v>28-10</v>
      </c>
      <c r="K908" s="13" t="str">
        <f>IFERROR(__xludf.DUMMYFUNCTION("if(isblank(B908),,split(B908,""ー""))"),"28-62")</f>
        <v>28-62</v>
      </c>
    </row>
    <row r="909">
      <c r="A909" s="33" t="s">
        <v>1564</v>
      </c>
      <c r="B909" s="34" t="s">
        <v>1603</v>
      </c>
      <c r="C909" s="9"/>
      <c r="D909" s="13"/>
      <c r="E909" s="10" t="s">
        <v>1567</v>
      </c>
      <c r="F909" s="11" t="s">
        <v>1568</v>
      </c>
      <c r="G909" s="103" t="s">
        <v>1590</v>
      </c>
      <c r="I909" s="13" t="str">
        <f>IFERROR(__xludf.DUMMYFUNCTION("if(isblank(A909),,split(A909,""ー""))"),"28-10")</f>
        <v>28-10</v>
      </c>
      <c r="K909" s="13" t="str">
        <f>IFERROR(__xludf.DUMMYFUNCTION("if(isblank(B909),,split(B909,""ー""))"),"28-63")</f>
        <v>28-63</v>
      </c>
    </row>
    <row r="910">
      <c r="A910" s="33" t="s">
        <v>1564</v>
      </c>
      <c r="B910" s="34" t="s">
        <v>1604</v>
      </c>
      <c r="C910" s="9"/>
      <c r="D910" s="35" t="s">
        <v>1566</v>
      </c>
      <c r="E910" s="10" t="s">
        <v>1567</v>
      </c>
      <c r="F910" s="11" t="s">
        <v>1568</v>
      </c>
      <c r="G910" s="103" t="s">
        <v>1590</v>
      </c>
      <c r="I910" s="13" t="str">
        <f>IFERROR(__xludf.DUMMYFUNCTION("if(isblank(A910),,split(A910,""ー""))"),"28-10")</f>
        <v>28-10</v>
      </c>
      <c r="K910" s="13" t="str">
        <f>IFERROR(__xludf.DUMMYFUNCTION("if(isblank(B910),,split(B910,""ー""))"),"28-72")</f>
        <v>28-72</v>
      </c>
    </row>
    <row r="911">
      <c r="A911" s="33" t="s">
        <v>1564</v>
      </c>
      <c r="B911" s="34" t="s">
        <v>1605</v>
      </c>
      <c r="C911" s="9"/>
      <c r="D911" s="35" t="s">
        <v>1566</v>
      </c>
      <c r="E911" s="10" t="s">
        <v>1567</v>
      </c>
      <c r="F911" s="11" t="s">
        <v>1568</v>
      </c>
      <c r="G911" s="103" t="s">
        <v>1590</v>
      </c>
      <c r="I911" s="13" t="str">
        <f>IFERROR(__xludf.DUMMYFUNCTION("if(isblank(A911),,split(A911,""ー""))"),"28-10")</f>
        <v>28-10</v>
      </c>
      <c r="K911" s="13" t="str">
        <f>IFERROR(__xludf.DUMMYFUNCTION("if(isblank(B911),,split(B911,""ー""))"),"28-73")</f>
        <v>28-73</v>
      </c>
    </row>
    <row r="912">
      <c r="A912" s="33" t="s">
        <v>1564</v>
      </c>
      <c r="B912" s="34" t="s">
        <v>1606</v>
      </c>
      <c r="C912" s="9"/>
      <c r="D912" s="35" t="s">
        <v>1566</v>
      </c>
      <c r="E912" s="10" t="s">
        <v>1567</v>
      </c>
      <c r="F912" s="11" t="s">
        <v>1568</v>
      </c>
      <c r="G912" s="103" t="s">
        <v>1590</v>
      </c>
      <c r="I912" s="13" t="str">
        <f>IFERROR(__xludf.DUMMYFUNCTION("if(isblank(A912),,split(A912,""ー""))"),"28-10")</f>
        <v>28-10</v>
      </c>
      <c r="K912" s="13" t="str">
        <f>IFERROR(__xludf.DUMMYFUNCTION("if(isblank(B912),,split(B912,""ー""))"),"28-74")</f>
        <v>28-74</v>
      </c>
    </row>
    <row r="913">
      <c r="A913" s="33" t="s">
        <v>1564</v>
      </c>
      <c r="B913" s="34" t="s">
        <v>1607</v>
      </c>
      <c r="C913" s="9"/>
      <c r="D913" s="35" t="s">
        <v>1566</v>
      </c>
      <c r="E913" s="10" t="s">
        <v>1567</v>
      </c>
      <c r="F913" s="11" t="s">
        <v>1568</v>
      </c>
      <c r="G913" s="103" t="s">
        <v>1608</v>
      </c>
      <c r="I913" s="13" t="str">
        <f>IFERROR(__xludf.DUMMYFUNCTION("if(isblank(A913),,split(A913,""ー""))"),"28-10")</f>
        <v>28-10</v>
      </c>
      <c r="K913" s="13" t="str">
        <f>IFERROR(__xludf.DUMMYFUNCTION("if(isblank(B913),,split(B913,""ー""))"),"28-86")</f>
        <v>28-86</v>
      </c>
    </row>
    <row r="914">
      <c r="A914" s="33" t="s">
        <v>1564</v>
      </c>
      <c r="B914" s="34" t="s">
        <v>1609</v>
      </c>
      <c r="C914" s="9"/>
      <c r="D914" s="35" t="s">
        <v>1566</v>
      </c>
      <c r="E914" s="10" t="s">
        <v>1567</v>
      </c>
      <c r="F914" s="11" t="s">
        <v>1568</v>
      </c>
      <c r="G914" s="101" t="s">
        <v>1569</v>
      </c>
      <c r="I914" s="13" t="str">
        <f>IFERROR(__xludf.DUMMYFUNCTION("if(isblank(A914),,split(A914,""ー""))"),"28-10")</f>
        <v>28-10</v>
      </c>
      <c r="K914" s="13" t="str">
        <f>IFERROR(__xludf.DUMMYFUNCTION("if(isblank(B914),,split(B914,""ー""))"),"28-87")</f>
        <v>28-87</v>
      </c>
    </row>
    <row r="915">
      <c r="A915" s="15" t="s">
        <v>1564</v>
      </c>
      <c r="B915" s="34" t="s">
        <v>1610</v>
      </c>
      <c r="C915" s="9"/>
      <c r="D915" s="35" t="s">
        <v>1566</v>
      </c>
      <c r="E915" s="10" t="s">
        <v>1567</v>
      </c>
      <c r="F915" s="11" t="s">
        <v>1568</v>
      </c>
      <c r="G915" s="101" t="s">
        <v>1569</v>
      </c>
      <c r="I915" s="13" t="str">
        <f>IFERROR(__xludf.DUMMYFUNCTION("if(isblank(A915),,split(A915,""ー""))"),"28-10")</f>
        <v>28-10</v>
      </c>
      <c r="K915" s="13" t="str">
        <f>IFERROR(__xludf.DUMMYFUNCTION("if(isblank(B915),,split(B915,""ー""))"),"28-88")</f>
        <v>28-88</v>
      </c>
    </row>
    <row r="916">
      <c r="A916" s="15" t="s">
        <v>1564</v>
      </c>
      <c r="B916" s="34" t="s">
        <v>1611</v>
      </c>
      <c r="C916" s="9"/>
      <c r="D916" s="35" t="s">
        <v>1566</v>
      </c>
      <c r="E916" s="10" t="s">
        <v>1567</v>
      </c>
      <c r="F916" s="11" t="s">
        <v>1568</v>
      </c>
      <c r="G916" s="101" t="s">
        <v>1569</v>
      </c>
      <c r="I916" s="13" t="str">
        <f>IFERROR(__xludf.DUMMYFUNCTION("if(isblank(A916),,split(A916,""ー""))"),"28-10")</f>
        <v>28-10</v>
      </c>
      <c r="K916" s="13" t="str">
        <f>IFERROR(__xludf.DUMMYFUNCTION("if(isblank(B916),,split(B916,""ー""))"),"28-93")</f>
        <v>28-93</v>
      </c>
    </row>
    <row r="917">
      <c r="A917" s="15" t="s">
        <v>1564</v>
      </c>
      <c r="B917" s="34" t="s">
        <v>1612</v>
      </c>
      <c r="C917" s="9"/>
      <c r="D917" s="35" t="s">
        <v>1566</v>
      </c>
      <c r="E917" s="10" t="s">
        <v>1567</v>
      </c>
      <c r="F917" s="11" t="s">
        <v>1568</v>
      </c>
      <c r="G917" s="101" t="s">
        <v>1569</v>
      </c>
      <c r="I917" s="13" t="str">
        <f>IFERROR(__xludf.DUMMYFUNCTION("if(isblank(A917),,split(A917,""ー""))"),"28-10")</f>
        <v>28-10</v>
      </c>
      <c r="K917" s="13" t="str">
        <f>IFERROR(__xludf.DUMMYFUNCTION("if(isblank(B917),,split(B917,""ー""))"),"28-96")</f>
        <v>28-96</v>
      </c>
    </row>
    <row r="918">
      <c r="A918" s="15" t="s">
        <v>1564</v>
      </c>
      <c r="B918" s="34" t="s">
        <v>1613</v>
      </c>
      <c r="C918" s="9"/>
      <c r="D918" s="35" t="s">
        <v>1566</v>
      </c>
      <c r="E918" s="10" t="s">
        <v>1567</v>
      </c>
      <c r="F918" s="11" t="s">
        <v>1568</v>
      </c>
      <c r="G918" s="101" t="s">
        <v>1569</v>
      </c>
      <c r="I918" s="13" t="str">
        <f>IFERROR(__xludf.DUMMYFUNCTION("if(isblank(A918),,split(A918,""ー""))"),"28-10")</f>
        <v>28-10</v>
      </c>
      <c r="K918" s="13" t="str">
        <f>IFERROR(__xludf.DUMMYFUNCTION("if(isblank(B918),,split(B918,""ー""))"),"28-98")</f>
        <v>28-98</v>
      </c>
    </row>
    <row r="919">
      <c r="A919" s="15" t="s">
        <v>1564</v>
      </c>
      <c r="B919" s="34" t="s">
        <v>1614</v>
      </c>
      <c r="C919" s="9"/>
      <c r="D919" s="35" t="s">
        <v>1566</v>
      </c>
      <c r="E919" s="10" t="s">
        <v>1567</v>
      </c>
      <c r="F919" s="11" t="s">
        <v>1568</v>
      </c>
      <c r="G919" s="101" t="s">
        <v>1569</v>
      </c>
      <c r="I919" s="13" t="str">
        <f>IFERROR(__xludf.DUMMYFUNCTION("if(isblank(A919),,split(A919,""ー""))"),"28-10")</f>
        <v>28-10</v>
      </c>
      <c r="K919" s="13" t="str">
        <f>IFERROR(__xludf.DUMMYFUNCTION("if(isblank(B919),,split(B919,""ー""))"),"28-99")</f>
        <v>28-99</v>
      </c>
    </row>
    <row r="920">
      <c r="A920" s="15" t="s">
        <v>1615</v>
      </c>
      <c r="B920" s="16" t="s">
        <v>1616</v>
      </c>
      <c r="C920" s="9"/>
      <c r="D920" s="10" t="s">
        <v>1617</v>
      </c>
      <c r="E920" s="10" t="s">
        <v>1567</v>
      </c>
      <c r="F920" s="11" t="s">
        <v>1618</v>
      </c>
      <c r="G920" s="101" t="s">
        <v>1619</v>
      </c>
      <c r="I920" s="13" t="str">
        <f>IFERROR(__xludf.DUMMYFUNCTION("if(isblank(A920),,split(A920,""ー""))"),"28-101")</f>
        <v>28-101</v>
      </c>
      <c r="K920" s="13" t="str">
        <f>IFERROR(__xludf.DUMMYFUNCTION("if(isblank(B920),,split(B920,""ー""))"),"11-41")</f>
        <v>11-41</v>
      </c>
    </row>
    <row r="921">
      <c r="A921" s="15" t="s">
        <v>1620</v>
      </c>
      <c r="B921" s="16" t="s">
        <v>1621</v>
      </c>
      <c r="C921" s="9"/>
      <c r="D921" s="10" t="s">
        <v>417</v>
      </c>
      <c r="E921" s="10" t="s">
        <v>1567</v>
      </c>
      <c r="F921" s="11" t="s">
        <v>1622</v>
      </c>
      <c r="G921" s="101" t="s">
        <v>1623</v>
      </c>
      <c r="I921" s="13" t="str">
        <f>IFERROR(__xludf.DUMMYFUNCTION("if(isblank(A921),,split(A921,""ー""))"),"28-11")</f>
        <v>28-11</v>
      </c>
      <c r="K921" s="13" t="str">
        <f>IFERROR(__xludf.DUMMYFUNCTION("if(isblank(B921),,split(B921,""ー""))"),"28-108")</f>
        <v>28-108</v>
      </c>
    </row>
    <row r="922">
      <c r="A922" s="33" t="s">
        <v>1620</v>
      </c>
      <c r="B922" s="34" t="s">
        <v>1624</v>
      </c>
      <c r="C922" s="9"/>
      <c r="D922" s="35" t="s">
        <v>149</v>
      </c>
      <c r="E922" s="10" t="s">
        <v>1567</v>
      </c>
      <c r="F922" s="11" t="s">
        <v>36</v>
      </c>
      <c r="G922" s="104" t="s">
        <v>1625</v>
      </c>
      <c r="I922" s="13" t="str">
        <f>IFERROR(__xludf.DUMMYFUNCTION("if(isblank(A922),,split(A922,""ー""))"),"28-11")</f>
        <v>28-11</v>
      </c>
      <c r="K922" s="13" t="str">
        <f>IFERROR(__xludf.DUMMYFUNCTION("if(isblank(B922),,split(B922,""ー""))"),"28-15")</f>
        <v>28-15</v>
      </c>
    </row>
    <row r="923">
      <c r="A923" s="33" t="s">
        <v>1620</v>
      </c>
      <c r="B923" s="34" t="s">
        <v>1626</v>
      </c>
      <c r="C923" s="9"/>
      <c r="D923" s="10" t="s">
        <v>1627</v>
      </c>
      <c r="E923" s="10" t="s">
        <v>1567</v>
      </c>
      <c r="F923" s="11" t="s">
        <v>1622</v>
      </c>
      <c r="G923" s="104" t="s">
        <v>1628</v>
      </c>
      <c r="I923" s="13" t="str">
        <f>IFERROR(__xludf.DUMMYFUNCTION("if(isblank(A923),,split(A923,""ー""))"),"28-11")</f>
        <v>28-11</v>
      </c>
      <c r="K923" s="13" t="str">
        <f>IFERROR(__xludf.DUMMYFUNCTION("if(isblank(B923),,split(B923,""ー""))"),"28-17")</f>
        <v>28-17</v>
      </c>
    </row>
    <row r="924">
      <c r="A924" s="33" t="s">
        <v>1620</v>
      </c>
      <c r="B924" s="34" t="s">
        <v>1629</v>
      </c>
      <c r="C924" s="9"/>
      <c r="D924" s="10" t="s">
        <v>417</v>
      </c>
      <c r="E924" s="10" t="s">
        <v>1567</v>
      </c>
      <c r="F924" s="11" t="s">
        <v>1622</v>
      </c>
      <c r="G924" s="105" t="s">
        <v>1630</v>
      </c>
      <c r="I924" s="13" t="str">
        <f>IFERROR(__xludf.DUMMYFUNCTION("if(isblank(A924),,split(A924,""ー""))"),"28-11")</f>
        <v>28-11</v>
      </c>
      <c r="K924" s="13" t="str">
        <f>IFERROR(__xludf.DUMMYFUNCTION("if(isblank(B924),,split(B924,""ー""))"),"28-18")</f>
        <v>28-18</v>
      </c>
    </row>
    <row r="925">
      <c r="A925" s="33" t="s">
        <v>1620</v>
      </c>
      <c r="B925" s="34" t="s">
        <v>1631</v>
      </c>
      <c r="C925" s="9"/>
      <c r="D925" s="13"/>
      <c r="E925" s="10" t="s">
        <v>1567</v>
      </c>
      <c r="F925" s="13"/>
      <c r="G925" s="105" t="s">
        <v>1632</v>
      </c>
      <c r="I925" s="13" t="str">
        <f>IFERROR(__xludf.DUMMYFUNCTION("if(isblank(A925),,split(A925,""ー""))"),"28-11")</f>
        <v>28-11</v>
      </c>
      <c r="K925" s="13" t="str">
        <f>IFERROR(__xludf.DUMMYFUNCTION("if(isblank(B925),,split(B925,""ー""))"),"28-26")</f>
        <v>28-26</v>
      </c>
    </row>
    <row r="926">
      <c r="A926" s="33" t="s">
        <v>1620</v>
      </c>
      <c r="B926" s="34" t="s">
        <v>1633</v>
      </c>
      <c r="C926" s="9"/>
      <c r="D926" s="10" t="s">
        <v>417</v>
      </c>
      <c r="E926" s="10" t="s">
        <v>1567</v>
      </c>
      <c r="F926" s="11" t="s">
        <v>1622</v>
      </c>
      <c r="G926" s="103" t="s">
        <v>1634</v>
      </c>
      <c r="I926" s="13" t="str">
        <f>IFERROR(__xludf.DUMMYFUNCTION("if(isblank(A926),,split(A926,""ー""))"),"28-11")</f>
        <v>28-11</v>
      </c>
      <c r="K926" s="13" t="str">
        <f>IFERROR(__xludf.DUMMYFUNCTION("if(isblank(B926),,split(B926,""ー""))"),"28-37")</f>
        <v>28-37</v>
      </c>
    </row>
    <row r="927">
      <c r="A927" s="33" t="s">
        <v>1620</v>
      </c>
      <c r="B927" s="34" t="s">
        <v>1635</v>
      </c>
      <c r="C927" s="9"/>
      <c r="D927" s="10" t="s">
        <v>417</v>
      </c>
      <c r="E927" s="10" t="s">
        <v>1567</v>
      </c>
      <c r="F927" s="11" t="s">
        <v>1622</v>
      </c>
      <c r="G927" s="103" t="s">
        <v>1590</v>
      </c>
      <c r="I927" s="13" t="str">
        <f>IFERROR(__xludf.DUMMYFUNCTION("if(isblank(A927),,split(A927,""ー""))"),"28-11")</f>
        <v>28-11</v>
      </c>
      <c r="K927" s="13" t="str">
        <f>IFERROR(__xludf.DUMMYFUNCTION("if(isblank(B927),,split(B927,""ー""))"),"28-38")</f>
        <v>28-38</v>
      </c>
    </row>
    <row r="928">
      <c r="A928" s="33" t="s">
        <v>1620</v>
      </c>
      <c r="B928" s="34" t="s">
        <v>1636</v>
      </c>
      <c r="C928" s="9"/>
      <c r="D928" s="10" t="s">
        <v>417</v>
      </c>
      <c r="E928" s="10" t="s">
        <v>1567</v>
      </c>
      <c r="F928" s="11" t="s">
        <v>1622</v>
      </c>
      <c r="G928" s="103" t="s">
        <v>1590</v>
      </c>
      <c r="I928" s="13" t="str">
        <f>IFERROR(__xludf.DUMMYFUNCTION("if(isblank(A928),,split(A928,""ー""))"),"28-11")</f>
        <v>28-11</v>
      </c>
      <c r="K928" s="13" t="str">
        <f>IFERROR(__xludf.DUMMYFUNCTION("if(isblank(B928),,split(B928,""ー""))"),"28-39")</f>
        <v>28-39</v>
      </c>
    </row>
    <row r="929">
      <c r="A929" s="33" t="s">
        <v>1620</v>
      </c>
      <c r="B929" s="34" t="s">
        <v>1637</v>
      </c>
      <c r="C929" s="9"/>
      <c r="D929" s="10" t="s">
        <v>417</v>
      </c>
      <c r="E929" s="10" t="s">
        <v>1567</v>
      </c>
      <c r="F929" s="11" t="s">
        <v>1622</v>
      </c>
      <c r="G929" s="103" t="s">
        <v>1590</v>
      </c>
      <c r="I929" s="13" t="str">
        <f>IFERROR(__xludf.DUMMYFUNCTION("if(isblank(A929),,split(A929,""ー""))"),"28-11")</f>
        <v>28-11</v>
      </c>
      <c r="K929" s="13" t="str">
        <f>IFERROR(__xludf.DUMMYFUNCTION("if(isblank(B929),,split(B929,""ー""))"),"28-40")</f>
        <v>28-40</v>
      </c>
    </row>
    <row r="930">
      <c r="A930" s="33" t="s">
        <v>1620</v>
      </c>
      <c r="B930" s="34" t="s">
        <v>1638</v>
      </c>
      <c r="C930" s="9"/>
      <c r="D930" s="10" t="s">
        <v>417</v>
      </c>
      <c r="E930" s="10" t="s">
        <v>1567</v>
      </c>
      <c r="F930" s="11" t="s">
        <v>1622</v>
      </c>
      <c r="G930" s="103" t="s">
        <v>1639</v>
      </c>
      <c r="I930" s="13" t="str">
        <f>IFERROR(__xludf.DUMMYFUNCTION("if(isblank(A930),,split(A930,""ー""))"),"28-11")</f>
        <v>28-11</v>
      </c>
      <c r="K930" s="13" t="str">
        <f>IFERROR(__xludf.DUMMYFUNCTION("if(isblank(B930),,split(B930,""ー""))"),"28-41")</f>
        <v>28-41</v>
      </c>
    </row>
    <row r="931">
      <c r="A931" s="15" t="s">
        <v>1620</v>
      </c>
      <c r="B931" s="16" t="s">
        <v>1640</v>
      </c>
      <c r="C931" s="9"/>
      <c r="D931" s="10" t="s">
        <v>417</v>
      </c>
      <c r="E931" s="10" t="s">
        <v>1567</v>
      </c>
      <c r="F931" s="11" t="s">
        <v>1622</v>
      </c>
      <c r="G931" s="101" t="s">
        <v>1641</v>
      </c>
      <c r="I931" s="13" t="str">
        <f>IFERROR(__xludf.DUMMYFUNCTION("if(isblank(A931),,split(A931,""ー""))"),"28-11")</f>
        <v>28-11</v>
      </c>
      <c r="K931" s="13" t="str">
        <f>IFERROR(__xludf.DUMMYFUNCTION("if(isblank(B931),,split(B931,""ー""))"),"28-92")</f>
        <v>28-92</v>
      </c>
    </row>
    <row r="932">
      <c r="A932" s="15" t="s">
        <v>1620</v>
      </c>
      <c r="B932" s="16" t="s">
        <v>1642</v>
      </c>
      <c r="C932" s="9"/>
      <c r="D932" s="10" t="s">
        <v>417</v>
      </c>
      <c r="E932" s="10" t="s">
        <v>1567</v>
      </c>
      <c r="F932" s="11" t="s">
        <v>1622</v>
      </c>
      <c r="G932" s="101" t="s">
        <v>1643</v>
      </c>
      <c r="I932" s="13" t="str">
        <f>IFERROR(__xludf.DUMMYFUNCTION("if(isblank(A932),,split(A932,""ー""))"),"28-11")</f>
        <v>28-11</v>
      </c>
      <c r="K932" s="13" t="str">
        <f>IFERROR(__xludf.DUMMYFUNCTION("if(isblank(B932),,split(B932,""ー""))"),"28-94")</f>
        <v>28-94</v>
      </c>
    </row>
    <row r="933">
      <c r="A933" s="15" t="s">
        <v>1620</v>
      </c>
      <c r="B933" s="16" t="s">
        <v>1644</v>
      </c>
      <c r="C933" s="9"/>
      <c r="D933" s="10" t="s">
        <v>417</v>
      </c>
      <c r="E933" s="10" t="s">
        <v>1567</v>
      </c>
      <c r="F933" s="11" t="s">
        <v>1622</v>
      </c>
      <c r="G933" s="101" t="s">
        <v>1643</v>
      </c>
      <c r="I933" s="13" t="str">
        <f>IFERROR(__xludf.DUMMYFUNCTION("if(isblank(A933),,split(A933,""ー""))"),"28-11")</f>
        <v>28-11</v>
      </c>
      <c r="K933" s="13" t="str">
        <f>IFERROR(__xludf.DUMMYFUNCTION("if(isblank(B933),,split(B933,""ー""))"),"28-95")</f>
        <v>28-95</v>
      </c>
    </row>
    <row r="934">
      <c r="A934" s="33" t="s">
        <v>1580</v>
      </c>
      <c r="B934" s="16" t="s">
        <v>1645</v>
      </c>
      <c r="C934" s="9"/>
      <c r="D934" s="35" t="s">
        <v>36</v>
      </c>
      <c r="E934" s="10" t="s">
        <v>1567</v>
      </c>
      <c r="F934" s="35" t="s">
        <v>36</v>
      </c>
      <c r="G934" s="103" t="s">
        <v>1590</v>
      </c>
      <c r="I934" s="13" t="str">
        <f>IFERROR(__xludf.DUMMYFUNCTION("if(isblank(A934),,split(A934,""ー""))"),"28-12")</f>
        <v>28-12</v>
      </c>
      <c r="K934" s="13" t="str">
        <f>IFERROR(__xludf.DUMMYFUNCTION("if(isblank(B934),,split(B934,""ー""))"),"28-75")</f>
        <v>28-75</v>
      </c>
    </row>
    <row r="935">
      <c r="A935" s="106" t="s">
        <v>1646</v>
      </c>
      <c r="B935" s="107" t="s">
        <v>993</v>
      </c>
      <c r="C935" s="108">
        <v>43879.0</v>
      </c>
      <c r="D935" s="109" t="s">
        <v>1239</v>
      </c>
      <c r="E935" s="109" t="s">
        <v>1218</v>
      </c>
      <c r="F935" s="109" t="s">
        <v>1240</v>
      </c>
      <c r="G935" s="104" t="s">
        <v>1647</v>
      </c>
      <c r="H935" s="4"/>
      <c r="I935" s="13" t="str">
        <f>IFERROR(__xludf.DUMMYFUNCTION("if(isblank(A935),,split(A935,""ー""))"),"28-13")</f>
        <v>28-13</v>
      </c>
      <c r="K935" s="13" t="str">
        <f>IFERROR(__xludf.DUMMYFUNCTION("if(isblank(B935),,split(B935,""ー""))"),"27-12")</f>
        <v>27-12</v>
      </c>
    </row>
    <row r="936">
      <c r="A936" s="33" t="s">
        <v>1648</v>
      </c>
      <c r="B936" s="86" t="s">
        <v>1344</v>
      </c>
      <c r="C936" s="9">
        <v>43877.0</v>
      </c>
      <c r="D936" s="6" t="s">
        <v>1363</v>
      </c>
      <c r="E936" s="6" t="s">
        <v>1218</v>
      </c>
      <c r="F936" s="6" t="s">
        <v>813</v>
      </c>
      <c r="G936" s="110" t="s">
        <v>1590</v>
      </c>
      <c r="I936" s="13" t="str">
        <f>IFERROR(__xludf.DUMMYFUNCTION("if(isblank(A936),,split(A936,""ー""))"),"28-14")</f>
        <v>28-14</v>
      </c>
      <c r="K936" s="13" t="str">
        <f>IFERROR(__xludf.DUMMYFUNCTION("if(isblank(B936),,split(B936,""ー""))"),"27-2")</f>
        <v>27-2</v>
      </c>
    </row>
    <row r="937">
      <c r="A937" s="15" t="s">
        <v>1649</v>
      </c>
      <c r="B937" s="16" t="s">
        <v>1650</v>
      </c>
      <c r="C937" s="9"/>
      <c r="D937" s="10" t="s">
        <v>36</v>
      </c>
      <c r="E937" s="10" t="s">
        <v>1567</v>
      </c>
      <c r="F937" s="11" t="s">
        <v>1651</v>
      </c>
      <c r="G937" s="111" t="s">
        <v>1652</v>
      </c>
      <c r="I937" s="13" t="str">
        <f>IFERROR(__xludf.DUMMYFUNCTION("if(isblank(A937),,split(A937,""ー""))"),"28-157")</f>
        <v>28-157</v>
      </c>
      <c r="K937" s="13" t="str">
        <f>IFERROR(__xludf.DUMMYFUNCTION("if(isblank(B937),,split(B937,""ー""))"),"25-10")</f>
        <v>25-10</v>
      </c>
    </row>
    <row r="938">
      <c r="A938" s="15" t="s">
        <v>1649</v>
      </c>
      <c r="B938" s="16" t="s">
        <v>1653</v>
      </c>
      <c r="C938" s="9"/>
      <c r="D938" s="10" t="s">
        <v>36</v>
      </c>
      <c r="E938" s="10" t="s">
        <v>1567</v>
      </c>
      <c r="F938" s="11" t="s">
        <v>1651</v>
      </c>
      <c r="G938" s="111" t="s">
        <v>1652</v>
      </c>
      <c r="I938" s="13" t="str">
        <f>IFERROR(__xludf.DUMMYFUNCTION("if(isblank(A938),,split(A938,""ー""))"),"28-157")</f>
        <v>28-157</v>
      </c>
      <c r="K938" s="13" t="str">
        <f>IFERROR(__xludf.DUMMYFUNCTION("if(isblank(B938),,split(B938,""ー""))"),"25-11")</f>
        <v>25-11</v>
      </c>
    </row>
    <row r="939">
      <c r="A939" s="15" t="s">
        <v>1649</v>
      </c>
      <c r="B939" s="16" t="s">
        <v>1654</v>
      </c>
      <c r="C939" s="9"/>
      <c r="D939" s="10" t="s">
        <v>36</v>
      </c>
      <c r="E939" s="10" t="s">
        <v>1567</v>
      </c>
      <c r="F939" s="11" t="s">
        <v>1651</v>
      </c>
      <c r="G939" s="111" t="s">
        <v>1652</v>
      </c>
      <c r="I939" s="13" t="str">
        <f>IFERROR(__xludf.DUMMYFUNCTION("if(isblank(A939),,split(A939,""ー""))"),"28-157")</f>
        <v>28-157</v>
      </c>
      <c r="K939" s="13" t="str">
        <f>IFERROR(__xludf.DUMMYFUNCTION("if(isblank(B939),,split(B939,""ー""))"),"25-12")</f>
        <v>25-12</v>
      </c>
    </row>
    <row r="940">
      <c r="A940" s="15" t="s">
        <v>1649</v>
      </c>
      <c r="B940" s="16" t="s">
        <v>1655</v>
      </c>
      <c r="C940" s="9"/>
      <c r="D940" s="10" t="s">
        <v>36</v>
      </c>
      <c r="E940" s="10" t="s">
        <v>1567</v>
      </c>
      <c r="F940" s="11" t="s">
        <v>1651</v>
      </c>
      <c r="G940" s="112" t="s">
        <v>1652</v>
      </c>
      <c r="I940" s="13" t="str">
        <f>IFERROR(__xludf.DUMMYFUNCTION("if(isblank(A940),,split(A940,""ー""))"),"28-157")</f>
        <v>28-157</v>
      </c>
      <c r="K940" s="13" t="str">
        <f>IFERROR(__xludf.DUMMYFUNCTION("if(isblank(B940),,split(B940,""ー""))"),"25-15")</f>
        <v>25-15</v>
      </c>
    </row>
    <row r="941">
      <c r="A941" s="15" t="s">
        <v>1649</v>
      </c>
      <c r="B941" s="16" t="s">
        <v>1656</v>
      </c>
      <c r="C941" s="9"/>
      <c r="D941" s="10" t="s">
        <v>36</v>
      </c>
      <c r="E941" s="10" t="s">
        <v>1567</v>
      </c>
      <c r="F941" s="11" t="s">
        <v>1651</v>
      </c>
      <c r="G941" s="111" t="s">
        <v>1652</v>
      </c>
      <c r="I941" s="13" t="str">
        <f>IFERROR(__xludf.DUMMYFUNCTION("if(isblank(A941),,split(A941,""ー""))"),"28-157")</f>
        <v>28-157</v>
      </c>
      <c r="K941" s="13" t="str">
        <f>IFERROR(__xludf.DUMMYFUNCTION("if(isblank(B941),,split(B941,""ー""))"),"25-9")</f>
        <v>25-9</v>
      </c>
    </row>
    <row r="942">
      <c r="A942" s="33" t="s">
        <v>1657</v>
      </c>
      <c r="B942" s="34" t="s">
        <v>1658</v>
      </c>
      <c r="C942" s="9"/>
      <c r="D942" s="35" t="s">
        <v>1659</v>
      </c>
      <c r="E942" s="10" t="s">
        <v>1567</v>
      </c>
      <c r="F942" s="35" t="s">
        <v>1660</v>
      </c>
      <c r="G942" s="113" t="s">
        <v>1661</v>
      </c>
      <c r="I942" s="13" t="str">
        <f>IFERROR(__xludf.DUMMYFUNCTION("if(isblank(A942),,split(A942,""ー""))"),"28-16")</f>
        <v>28-16</v>
      </c>
      <c r="K942" s="13" t="str">
        <f>IFERROR(__xludf.DUMMYFUNCTION("if(isblank(B942),,split(B942,""ー""))"),"28-30")</f>
        <v>28-30</v>
      </c>
    </row>
    <row r="943">
      <c r="A943" s="33" t="s">
        <v>1657</v>
      </c>
      <c r="B943" s="34" t="s">
        <v>1662</v>
      </c>
      <c r="C943" s="9"/>
      <c r="D943" s="35" t="s">
        <v>1659</v>
      </c>
      <c r="E943" s="10" t="s">
        <v>1567</v>
      </c>
      <c r="F943" s="35" t="s">
        <v>1660</v>
      </c>
      <c r="G943" s="37" t="s">
        <v>1661</v>
      </c>
      <c r="I943" s="13" t="str">
        <f>IFERROR(__xludf.DUMMYFUNCTION("if(isblank(A943),,split(A943,""ー""))"),"28-16")</f>
        <v>28-16</v>
      </c>
      <c r="K943" s="13" t="str">
        <f>IFERROR(__xludf.DUMMYFUNCTION("if(isblank(B943),,split(B943,""ー""))"),"28-34")</f>
        <v>28-34</v>
      </c>
    </row>
    <row r="944">
      <c r="A944" s="33" t="s">
        <v>1657</v>
      </c>
      <c r="B944" s="34" t="s">
        <v>1663</v>
      </c>
      <c r="C944" s="9"/>
      <c r="D944" s="35" t="s">
        <v>1659</v>
      </c>
      <c r="E944" s="10" t="s">
        <v>1567</v>
      </c>
      <c r="F944" s="35" t="s">
        <v>1660</v>
      </c>
      <c r="G944" s="37" t="s">
        <v>1661</v>
      </c>
      <c r="I944" s="13" t="str">
        <f>IFERROR(__xludf.DUMMYFUNCTION("if(isblank(A944),,split(A944,""ー""))"),"28-16")</f>
        <v>28-16</v>
      </c>
      <c r="K944" s="13" t="str">
        <f>IFERROR(__xludf.DUMMYFUNCTION("if(isblank(B944),,split(B944,""ー""))"),"28-35")</f>
        <v>28-35</v>
      </c>
    </row>
    <row r="945">
      <c r="A945" s="33" t="s">
        <v>1657</v>
      </c>
      <c r="B945" s="34" t="s">
        <v>1664</v>
      </c>
      <c r="C945" s="9"/>
      <c r="D945" s="35" t="s">
        <v>1659</v>
      </c>
      <c r="E945" s="10" t="s">
        <v>1567</v>
      </c>
      <c r="F945" s="35" t="s">
        <v>1660</v>
      </c>
      <c r="G945" s="37" t="s">
        <v>1661</v>
      </c>
      <c r="I945" s="13" t="str">
        <f>IFERROR(__xludf.DUMMYFUNCTION("if(isblank(A945),,split(A945,""ー""))"),"28-16")</f>
        <v>28-16</v>
      </c>
      <c r="K945" s="13" t="str">
        <f>IFERROR(__xludf.DUMMYFUNCTION("if(isblank(B945),,split(B945,""ー""))"),"28-36")</f>
        <v>28-36</v>
      </c>
    </row>
    <row r="946">
      <c r="A946" s="33" t="s">
        <v>1657</v>
      </c>
      <c r="B946" s="34" t="s">
        <v>1665</v>
      </c>
      <c r="C946" s="9"/>
      <c r="D946" s="35" t="s">
        <v>1659</v>
      </c>
      <c r="E946" s="10" t="s">
        <v>1567</v>
      </c>
      <c r="F946" s="35" t="s">
        <v>1660</v>
      </c>
      <c r="G946" s="68" t="s">
        <v>1590</v>
      </c>
      <c r="I946" s="13" t="str">
        <f>IFERROR(__xludf.DUMMYFUNCTION("if(isblank(A946),,split(A946,""ー""))"),"28-16")</f>
        <v>28-16</v>
      </c>
      <c r="K946" s="13" t="str">
        <f>IFERROR(__xludf.DUMMYFUNCTION("if(isblank(B946),,split(B946,""ー""))"),"28-45")</f>
        <v>28-45</v>
      </c>
    </row>
    <row r="947">
      <c r="A947" s="15" t="s">
        <v>1666</v>
      </c>
      <c r="B947" s="16" t="s">
        <v>1417</v>
      </c>
      <c r="C947" s="10" t="s">
        <v>36</v>
      </c>
      <c r="D947" s="10" t="s">
        <v>36</v>
      </c>
      <c r="E947" s="10" t="s">
        <v>36</v>
      </c>
      <c r="F947" s="10" t="s">
        <v>36</v>
      </c>
      <c r="G947" s="12" t="s">
        <v>1667</v>
      </c>
      <c r="I947" s="13" t="str">
        <f>IFERROR(__xludf.DUMMYFUNCTION("if(isblank(A947),,split(A947,""ー""))"),"28-171")</f>
        <v>28-171</v>
      </c>
      <c r="K947" s="13" t="str">
        <f>IFERROR(__xludf.DUMMYFUNCTION("if(isblank(B947),,split(B947,""ー""))"),"27-272")</f>
        <v>27-272</v>
      </c>
    </row>
    <row r="948">
      <c r="A948" s="15" t="s">
        <v>1666</v>
      </c>
      <c r="B948" s="16" t="s">
        <v>1417</v>
      </c>
      <c r="C948" s="10" t="s">
        <v>36</v>
      </c>
      <c r="D948" s="10" t="s">
        <v>36</v>
      </c>
      <c r="E948" s="10" t="s">
        <v>36</v>
      </c>
      <c r="F948" s="10" t="s">
        <v>36</v>
      </c>
      <c r="G948" s="12" t="s">
        <v>1667</v>
      </c>
      <c r="I948" s="13" t="str">
        <f>IFERROR(__xludf.DUMMYFUNCTION("if(isblank(A948),,split(A948,""ー""))"),"28-171")</f>
        <v>28-171</v>
      </c>
      <c r="K948" s="13" t="str">
        <f>IFERROR(__xludf.DUMMYFUNCTION("if(isblank(B948),,split(B948,""ー""))"),"27-272")</f>
        <v>27-272</v>
      </c>
    </row>
    <row r="949">
      <c r="A949" s="15" t="s">
        <v>1666</v>
      </c>
      <c r="B949" s="16" t="s">
        <v>1417</v>
      </c>
      <c r="C949" s="10" t="s">
        <v>36</v>
      </c>
      <c r="D949" s="10" t="s">
        <v>36</v>
      </c>
      <c r="E949" s="10" t="s">
        <v>36</v>
      </c>
      <c r="F949" s="10" t="s">
        <v>36</v>
      </c>
      <c r="G949" s="12" t="s">
        <v>1667</v>
      </c>
      <c r="I949" s="13" t="str">
        <f>IFERROR(__xludf.DUMMYFUNCTION("if(isblank(A949),,split(A949,""ー""))"),"28-171")</f>
        <v>28-171</v>
      </c>
      <c r="K949" s="13" t="str">
        <f>IFERROR(__xludf.DUMMYFUNCTION("if(isblank(B949),,split(B949,""ー""))"),"27-272")</f>
        <v>27-272</v>
      </c>
    </row>
    <row r="950">
      <c r="A950" s="33" t="s">
        <v>1582</v>
      </c>
      <c r="B950" s="34" t="s">
        <v>1668</v>
      </c>
      <c r="C950" s="9"/>
      <c r="D950" s="35" t="s">
        <v>608</v>
      </c>
      <c r="E950" s="10" t="s">
        <v>1567</v>
      </c>
      <c r="F950" s="114" t="s">
        <v>1669</v>
      </c>
      <c r="G950" s="37" t="s">
        <v>1670</v>
      </c>
      <c r="I950" s="13" t="str">
        <f>IFERROR(__xludf.DUMMYFUNCTION("if(isblank(A950),,split(A950,""ー""))"),"28-19")</f>
        <v>28-19</v>
      </c>
      <c r="K950" s="13" t="str">
        <f>IFERROR(__xludf.DUMMYFUNCTION("if(isblank(B950),,split(B950,""ー""))"),"28-33")</f>
        <v>28-33</v>
      </c>
    </row>
    <row r="951">
      <c r="A951" s="15" t="s">
        <v>1587</v>
      </c>
      <c r="B951" s="16" t="s">
        <v>1671</v>
      </c>
      <c r="C951" s="9"/>
      <c r="D951" s="10" t="s">
        <v>1672</v>
      </c>
      <c r="E951" s="10" t="s">
        <v>1567</v>
      </c>
      <c r="F951" s="11" t="s">
        <v>1673</v>
      </c>
      <c r="G951" s="12" t="s">
        <v>1674</v>
      </c>
      <c r="I951" s="13" t="str">
        <f>IFERROR(__xludf.DUMMYFUNCTION("if(isblank(A951),,split(A951,""ー""))"),"28-21")</f>
        <v>28-21</v>
      </c>
      <c r="K951" s="13" t="str">
        <f>IFERROR(__xludf.DUMMYFUNCTION("if(isblank(B951),,split(B951,""ー""))"),"28-117")</f>
        <v>28-117</v>
      </c>
    </row>
    <row r="952">
      <c r="A952" s="15" t="s">
        <v>1589</v>
      </c>
      <c r="B952" s="16" t="s">
        <v>1675</v>
      </c>
      <c r="C952" s="9"/>
      <c r="D952" s="10" t="s">
        <v>36</v>
      </c>
      <c r="E952" s="10" t="s">
        <v>1567</v>
      </c>
      <c r="F952" s="11" t="s">
        <v>36</v>
      </c>
      <c r="G952" s="12" t="s">
        <v>1590</v>
      </c>
      <c r="I952" s="13" t="str">
        <f>IFERROR(__xludf.DUMMYFUNCTION("if(isblank(A952),,split(A952,""ー""))"),"28-22")</f>
        <v>28-22</v>
      </c>
      <c r="K952" s="13" t="str">
        <f>IFERROR(__xludf.DUMMYFUNCTION("if(isblank(B952),,split(B952,""ー""))"),"28-120")</f>
        <v>28-120</v>
      </c>
    </row>
    <row r="953">
      <c r="A953" s="15" t="s">
        <v>1589</v>
      </c>
      <c r="B953" s="16" t="s">
        <v>1676</v>
      </c>
      <c r="C953" s="9"/>
      <c r="D953" s="10" t="s">
        <v>36</v>
      </c>
      <c r="E953" s="10" t="s">
        <v>1567</v>
      </c>
      <c r="F953" s="11" t="s">
        <v>36</v>
      </c>
      <c r="G953" s="12" t="s">
        <v>1569</v>
      </c>
      <c r="I953" s="13" t="str">
        <f>IFERROR(__xludf.DUMMYFUNCTION("if(isblank(A953),,split(A953,""ー""))"),"28-22")</f>
        <v>28-22</v>
      </c>
      <c r="K953" s="13" t="str">
        <f>IFERROR(__xludf.DUMMYFUNCTION("if(isblank(B953),,split(B953,""ー""))"),"28-89")</f>
        <v>28-89</v>
      </c>
    </row>
    <row r="954">
      <c r="A954" s="33" t="s">
        <v>1677</v>
      </c>
      <c r="B954" s="34" t="s">
        <v>1678</v>
      </c>
      <c r="C954" s="9"/>
      <c r="D954" s="35" t="s">
        <v>1679</v>
      </c>
      <c r="E954" s="10" t="s">
        <v>1567</v>
      </c>
      <c r="F954" s="35" t="s">
        <v>1680</v>
      </c>
      <c r="G954" s="37"/>
      <c r="I954" s="13" t="str">
        <f>IFERROR(__xludf.DUMMYFUNCTION("if(isblank(A954),,split(A954,""ー""))"),"28-23")</f>
        <v>28-23</v>
      </c>
      <c r="K954" s="13" t="str">
        <f>IFERROR(__xludf.DUMMYFUNCTION("if(isblank(B954),,split(B954,""ー""))"),"28-32")</f>
        <v>28-32</v>
      </c>
    </row>
    <row r="955">
      <c r="A955" s="33" t="s">
        <v>1677</v>
      </c>
      <c r="B955" s="34" t="s">
        <v>1681</v>
      </c>
      <c r="C955" s="9"/>
      <c r="D955" s="35" t="s">
        <v>1682</v>
      </c>
      <c r="E955" s="10" t="s">
        <v>1567</v>
      </c>
      <c r="F955" s="35" t="s">
        <v>1680</v>
      </c>
      <c r="G955" s="68" t="s">
        <v>1597</v>
      </c>
      <c r="I955" s="13" t="str">
        <f>IFERROR(__xludf.DUMMYFUNCTION("if(isblank(A955),,split(A955,""ー""))"),"28-23")</f>
        <v>28-23</v>
      </c>
      <c r="K955" s="13" t="str">
        <f>IFERROR(__xludf.DUMMYFUNCTION("if(isblank(B955),,split(B955,""ー""))"),"28-55")</f>
        <v>28-55</v>
      </c>
    </row>
    <row r="956">
      <c r="A956" s="33" t="s">
        <v>1677</v>
      </c>
      <c r="B956" s="34" t="s">
        <v>1683</v>
      </c>
      <c r="C956" s="9"/>
      <c r="D956" s="35" t="s">
        <v>1682</v>
      </c>
      <c r="E956" s="10" t="s">
        <v>1567</v>
      </c>
      <c r="F956" s="35" t="s">
        <v>1680</v>
      </c>
      <c r="G956" s="68" t="s">
        <v>1590</v>
      </c>
      <c r="I956" s="13" t="str">
        <f>IFERROR(__xludf.DUMMYFUNCTION("if(isblank(A956),,split(A956,""ー""))"),"28-23")</f>
        <v>28-23</v>
      </c>
      <c r="K956" s="13" t="str">
        <f>IFERROR(__xludf.DUMMYFUNCTION("if(isblank(B956),,split(B956,""ー""))"),"28-80")</f>
        <v>28-80</v>
      </c>
    </row>
    <row r="957">
      <c r="A957" s="33" t="s">
        <v>1677</v>
      </c>
      <c r="B957" s="34" t="s">
        <v>1684</v>
      </c>
      <c r="C957" s="9"/>
      <c r="D957" s="35" t="s">
        <v>36</v>
      </c>
      <c r="E957" s="10" t="s">
        <v>1567</v>
      </c>
      <c r="F957" s="35" t="s">
        <v>1680</v>
      </c>
      <c r="G957" s="68" t="s">
        <v>1685</v>
      </c>
      <c r="I957" s="13" t="str">
        <f>IFERROR(__xludf.DUMMYFUNCTION("if(isblank(A957),,split(A957,""ー""))"),"28-23")</f>
        <v>28-23</v>
      </c>
      <c r="K957" s="13" t="str">
        <f>IFERROR(__xludf.DUMMYFUNCTION("if(isblank(B957),,split(B957,""ー""))"),"28-81")</f>
        <v>28-81</v>
      </c>
    </row>
    <row r="958">
      <c r="A958" s="33" t="s">
        <v>1686</v>
      </c>
      <c r="B958" s="16" t="s">
        <v>353</v>
      </c>
      <c r="C958" s="9">
        <v>43880.0</v>
      </c>
      <c r="D958" s="35" t="s">
        <v>36</v>
      </c>
      <c r="E958" s="10" t="s">
        <v>1567</v>
      </c>
      <c r="F958" s="11" t="s">
        <v>355</v>
      </c>
      <c r="G958" s="37" t="s">
        <v>1687</v>
      </c>
      <c r="I958" s="13" t="str">
        <f>IFERROR(__xludf.DUMMYFUNCTION("if(isblank(A958),,split(A958,""ー""))"),"28-24")</f>
        <v>28-24</v>
      </c>
      <c r="K958" s="13" t="str">
        <f>IFERROR(__xludf.DUMMYFUNCTION("if(isblank(B958),,split(B958,""ー""))"),"20-2")</f>
        <v>20-2</v>
      </c>
    </row>
    <row r="959">
      <c r="A959" s="15" t="s">
        <v>1591</v>
      </c>
      <c r="B959" s="16" t="s">
        <v>1688</v>
      </c>
      <c r="C959" s="9"/>
      <c r="D959" s="10" t="s">
        <v>1689</v>
      </c>
      <c r="E959" s="10" t="s">
        <v>1567</v>
      </c>
      <c r="F959" s="11" t="s">
        <v>1690</v>
      </c>
      <c r="G959" s="12" t="s">
        <v>1691</v>
      </c>
      <c r="I959" s="13" t="str">
        <f>IFERROR(__xludf.DUMMYFUNCTION("if(isblank(A959),,split(A959,""ー""))"),"28-27")</f>
        <v>28-27</v>
      </c>
      <c r="K959" s="13" t="str">
        <f>IFERROR(__xludf.DUMMYFUNCTION("if(isblank(B959),,split(B959,""ー""))"),"28-119")</f>
        <v>28-119</v>
      </c>
    </row>
    <row r="960">
      <c r="A960" s="33" t="s">
        <v>1591</v>
      </c>
      <c r="B960" s="16" t="s">
        <v>1692</v>
      </c>
      <c r="C960" s="9"/>
      <c r="D960" s="35" t="s">
        <v>1693</v>
      </c>
      <c r="E960" s="10" t="s">
        <v>1567</v>
      </c>
      <c r="F960" s="11" t="s">
        <v>1690</v>
      </c>
      <c r="G960" s="68" t="s">
        <v>1590</v>
      </c>
      <c r="I960" s="13" t="str">
        <f>IFERROR(__xludf.DUMMYFUNCTION("if(isblank(A960),,split(A960,""ー""))"),"28-27")</f>
        <v>28-27</v>
      </c>
      <c r="K960" s="13" t="str">
        <f>IFERROR(__xludf.DUMMYFUNCTION("if(isblank(B960),,split(B960,""ー""))"),"28-64")</f>
        <v>28-64</v>
      </c>
    </row>
    <row r="961">
      <c r="A961" s="33" t="s">
        <v>1591</v>
      </c>
      <c r="B961" s="16" t="s">
        <v>1694</v>
      </c>
      <c r="C961" s="9"/>
      <c r="D961" s="35" t="s">
        <v>1695</v>
      </c>
      <c r="E961" s="10" t="s">
        <v>1567</v>
      </c>
      <c r="F961" s="11" t="s">
        <v>1690</v>
      </c>
      <c r="G961" s="68" t="s">
        <v>1696</v>
      </c>
      <c r="I961" s="13" t="str">
        <f>IFERROR(__xludf.DUMMYFUNCTION("if(isblank(A961),,split(A961,""ー""))"),"28-27")</f>
        <v>28-27</v>
      </c>
      <c r="K961" s="13" t="str">
        <f>IFERROR(__xludf.DUMMYFUNCTION("if(isblank(B961),,split(B961,""ー""))"),"28-70")</f>
        <v>28-70</v>
      </c>
    </row>
    <row r="962">
      <c r="A962" s="33" t="s">
        <v>1591</v>
      </c>
      <c r="B962" s="16" t="s">
        <v>1697</v>
      </c>
      <c r="C962" s="9"/>
      <c r="D962" s="35" t="s">
        <v>1695</v>
      </c>
      <c r="E962" s="10" t="s">
        <v>1567</v>
      </c>
      <c r="F962" s="11" t="s">
        <v>1690</v>
      </c>
      <c r="G962" s="68" t="s">
        <v>1696</v>
      </c>
      <c r="I962" s="13" t="str">
        <f>IFERROR(__xludf.DUMMYFUNCTION("if(isblank(A962),,split(A962,""ー""))"),"28-27")</f>
        <v>28-27</v>
      </c>
      <c r="K962" s="13" t="str">
        <f>IFERROR(__xludf.DUMMYFUNCTION("if(isblank(B962),,split(B962,""ー""))"),"28-71")</f>
        <v>28-71</v>
      </c>
    </row>
    <row r="963">
      <c r="A963" s="33" t="s">
        <v>1591</v>
      </c>
      <c r="B963" s="16" t="s">
        <v>1698</v>
      </c>
      <c r="C963" s="9"/>
      <c r="D963" s="35" t="s">
        <v>1699</v>
      </c>
      <c r="E963" s="10" t="s">
        <v>1567</v>
      </c>
      <c r="F963" s="11" t="s">
        <v>1690</v>
      </c>
      <c r="G963" s="68" t="s">
        <v>1569</v>
      </c>
      <c r="I963" s="13" t="str">
        <f>IFERROR(__xludf.DUMMYFUNCTION("if(isblank(A963),,split(A963,""ー""))"),"28-27")</f>
        <v>28-27</v>
      </c>
      <c r="K963" s="13" t="str">
        <f>IFERROR(__xludf.DUMMYFUNCTION("if(isblank(B963),,split(B963,""ー""))"),"28-77")</f>
        <v>28-77</v>
      </c>
    </row>
    <row r="964">
      <c r="A964" s="33" t="s">
        <v>1591</v>
      </c>
      <c r="B964" s="16" t="s">
        <v>1700</v>
      </c>
      <c r="C964" s="9"/>
      <c r="D964" s="35" t="s">
        <v>1699</v>
      </c>
      <c r="E964" s="10" t="s">
        <v>1567</v>
      </c>
      <c r="F964" s="11" t="s">
        <v>1690</v>
      </c>
      <c r="G964" s="68" t="s">
        <v>1569</v>
      </c>
      <c r="I964" s="13" t="str">
        <f>IFERROR(__xludf.DUMMYFUNCTION("if(isblank(A964),,split(A964,""ー""))"),"28-27")</f>
        <v>28-27</v>
      </c>
      <c r="K964" s="13" t="str">
        <f>IFERROR(__xludf.DUMMYFUNCTION("if(isblank(B964),,split(B964,""ー""))"),"28-78")</f>
        <v>28-78</v>
      </c>
    </row>
    <row r="965">
      <c r="A965" s="33" t="s">
        <v>1592</v>
      </c>
      <c r="B965" s="16" t="s">
        <v>1701</v>
      </c>
      <c r="C965" s="9"/>
      <c r="D965" s="35" t="s">
        <v>36</v>
      </c>
      <c r="E965" s="10" t="s">
        <v>1567</v>
      </c>
      <c r="F965" s="11" t="s">
        <v>36</v>
      </c>
      <c r="G965" s="68" t="s">
        <v>1590</v>
      </c>
      <c r="I965" s="13" t="str">
        <f>IFERROR(__xludf.DUMMYFUNCTION("if(isblank(A965),,split(A965,""ー""))"),"28-28")</f>
        <v>28-28</v>
      </c>
      <c r="K965" s="13" t="str">
        <f>IFERROR(__xludf.DUMMYFUNCTION("if(isblank(B965),,split(B965,""ー""))"),"28-53")</f>
        <v>28-53</v>
      </c>
    </row>
    <row r="966">
      <c r="A966" s="15" t="s">
        <v>1592</v>
      </c>
      <c r="B966" s="16" t="s">
        <v>1702</v>
      </c>
      <c r="C966" s="9"/>
      <c r="D966" s="10" t="s">
        <v>36</v>
      </c>
      <c r="E966" s="10" t="s">
        <v>1567</v>
      </c>
      <c r="F966" s="11" t="s">
        <v>36</v>
      </c>
      <c r="G966" s="12" t="s">
        <v>1569</v>
      </c>
      <c r="I966" s="13" t="str">
        <f>IFERROR(__xludf.DUMMYFUNCTION("if(isblank(A966),,split(A966,""ー""))"),"28-28")</f>
        <v>28-28</v>
      </c>
      <c r="K966" s="13" t="str">
        <f>IFERROR(__xludf.DUMMYFUNCTION("if(isblank(B966),,split(B966,""ー""))"),"28-90")</f>
        <v>28-90</v>
      </c>
    </row>
    <row r="967">
      <c r="A967" s="33" t="s">
        <v>1703</v>
      </c>
      <c r="B967" s="115"/>
      <c r="C967" s="9"/>
      <c r="D967" s="35" t="s">
        <v>1704</v>
      </c>
      <c r="E967" s="10" t="s">
        <v>1567</v>
      </c>
      <c r="F967" s="13"/>
      <c r="G967" s="68" t="s">
        <v>1590</v>
      </c>
      <c r="I967" s="13" t="str">
        <f>IFERROR(__xludf.DUMMYFUNCTION("if(isblank(A967),,split(A967,""ー""))"),"28-29")</f>
        <v>28-29</v>
      </c>
      <c r="K967" s="13" t="str">
        <f>IFERROR(__xludf.DUMMYFUNCTION("if(isblank(B967),,split(B967,""ー""))"),"")</f>
        <v/>
      </c>
    </row>
    <row r="968">
      <c r="A968" s="15" t="s">
        <v>1705</v>
      </c>
      <c r="B968" s="16" t="s">
        <v>1344</v>
      </c>
      <c r="C968" s="9">
        <v>43876.0</v>
      </c>
      <c r="D968" s="6" t="s">
        <v>1349</v>
      </c>
      <c r="E968" s="6" t="s">
        <v>1218</v>
      </c>
      <c r="F968" s="6" t="s">
        <v>813</v>
      </c>
      <c r="G968" s="96" t="s">
        <v>1706</v>
      </c>
      <c r="I968" s="13" t="str">
        <f>IFERROR(__xludf.DUMMYFUNCTION("if(isblank(A968),,split(A968,""ー""))"),"28-3")</f>
        <v>28-3</v>
      </c>
      <c r="K968" s="13" t="str">
        <f>IFERROR(__xludf.DUMMYFUNCTION("if(isblank(B968),,split(B968,""ー""))"),"27-2")</f>
        <v>27-2</v>
      </c>
    </row>
    <row r="969">
      <c r="A969" s="33" t="s">
        <v>1658</v>
      </c>
      <c r="B969" s="34" t="s">
        <v>1707</v>
      </c>
      <c r="C969" s="9"/>
      <c r="D969" s="35" t="s">
        <v>1708</v>
      </c>
      <c r="E969" s="10" t="s">
        <v>1567</v>
      </c>
      <c r="F969" s="35" t="s">
        <v>1660</v>
      </c>
      <c r="G969" s="37" t="s">
        <v>1661</v>
      </c>
      <c r="I969" s="13" t="str">
        <f>IFERROR(__xludf.DUMMYFUNCTION("if(isblank(A969),,split(A969,""ー""))"),"28-30")</f>
        <v>28-30</v>
      </c>
      <c r="K969" s="13" t="str">
        <f>IFERROR(__xludf.DUMMYFUNCTION("if(isblank(B969),,split(B969,""ー""))"),"28-31")</f>
        <v>28-31</v>
      </c>
    </row>
    <row r="970">
      <c r="A970" s="33" t="s">
        <v>1707</v>
      </c>
      <c r="B970" s="34" t="s">
        <v>1709</v>
      </c>
      <c r="C970" s="9"/>
      <c r="D970" s="35" t="s">
        <v>36</v>
      </c>
      <c r="E970" s="10" t="s">
        <v>1567</v>
      </c>
      <c r="F970" s="114" t="s">
        <v>36</v>
      </c>
      <c r="G970" s="68" t="s">
        <v>1590</v>
      </c>
      <c r="I970" s="13" t="str">
        <f>IFERROR(__xludf.DUMMYFUNCTION("if(isblank(A970),,split(A970,""ー""))"),"28-31")</f>
        <v>28-31</v>
      </c>
      <c r="K970" s="13" t="str">
        <f>IFERROR(__xludf.DUMMYFUNCTION("if(isblank(B970),,split(B970,""ー""))"),"28-65")</f>
        <v>28-65</v>
      </c>
    </row>
    <row r="971">
      <c r="A971" s="33" t="s">
        <v>1710</v>
      </c>
      <c r="B971" s="16" t="s">
        <v>1344</v>
      </c>
      <c r="C971" s="9">
        <v>43876.0</v>
      </c>
      <c r="D971" s="6" t="s">
        <v>1349</v>
      </c>
      <c r="E971" s="6" t="s">
        <v>1218</v>
      </c>
      <c r="F971" s="6" t="s">
        <v>813</v>
      </c>
      <c r="G971" s="116" t="s">
        <v>1590</v>
      </c>
      <c r="I971" s="13" t="str">
        <f>IFERROR(__xludf.DUMMYFUNCTION("if(isblank(A971),,split(A971,""ー""))"),"28-4")</f>
        <v>28-4</v>
      </c>
      <c r="K971" s="13" t="str">
        <f>IFERROR(__xludf.DUMMYFUNCTION("if(isblank(B971),,split(B971,""ー""))"),"27-2")</f>
        <v>27-2</v>
      </c>
    </row>
    <row r="972">
      <c r="A972" s="33" t="s">
        <v>1711</v>
      </c>
      <c r="B972" s="86" t="s">
        <v>1511</v>
      </c>
      <c r="C972" s="9">
        <v>43880.0</v>
      </c>
      <c r="D972" s="6" t="s">
        <v>1518</v>
      </c>
      <c r="E972" s="6" t="s">
        <v>1218</v>
      </c>
      <c r="F972" s="6" t="s">
        <v>355</v>
      </c>
      <c r="G972" s="68" t="s">
        <v>1712</v>
      </c>
      <c r="I972" s="13" t="str">
        <f>IFERROR(__xludf.DUMMYFUNCTION("if(isblank(A972),,split(A972,""ー""))"),"28-48")</f>
        <v>28-48</v>
      </c>
      <c r="K972" s="13" t="str">
        <f>IFERROR(__xludf.DUMMYFUNCTION("if(isblank(B972),,split(B972,""ー""))"),"27-5")</f>
        <v>27-5</v>
      </c>
    </row>
    <row r="973">
      <c r="A973" s="33" t="s">
        <v>1711</v>
      </c>
      <c r="B973" s="34" t="s">
        <v>1713</v>
      </c>
      <c r="C973" s="9"/>
      <c r="D973" s="35" t="s">
        <v>1080</v>
      </c>
      <c r="E973" s="10" t="s">
        <v>1567</v>
      </c>
      <c r="F973" s="114" t="s">
        <v>1714</v>
      </c>
      <c r="G973" s="68" t="s">
        <v>1712</v>
      </c>
      <c r="I973" s="13" t="str">
        <f>IFERROR(__xludf.DUMMYFUNCTION("if(isblank(A973),,split(A973,""ー""))"),"28-48")</f>
        <v>28-48</v>
      </c>
      <c r="K973" s="13" t="str">
        <f>IFERROR(__xludf.DUMMYFUNCTION("if(isblank(B973),,split(B973,""ー""))"),"28-49")</f>
        <v>28-49</v>
      </c>
    </row>
    <row r="974">
      <c r="A974" s="33" t="s">
        <v>1711</v>
      </c>
      <c r="B974" s="16" t="s">
        <v>1715</v>
      </c>
      <c r="C974" s="9"/>
      <c r="D974" s="35" t="s">
        <v>1566</v>
      </c>
      <c r="E974" s="10" t="s">
        <v>1567</v>
      </c>
      <c r="F974" s="11" t="s">
        <v>1716</v>
      </c>
      <c r="G974" s="68" t="s">
        <v>1717</v>
      </c>
      <c r="I974" s="13" t="str">
        <f>IFERROR(__xludf.DUMMYFUNCTION("if(isblank(A974),,split(A974,""ー""))"),"28-48")</f>
        <v>28-48</v>
      </c>
      <c r="K974" s="13" t="str">
        <f>IFERROR(__xludf.DUMMYFUNCTION("if(isblank(B974),,split(B974,""ー""))"),"28-50")</f>
        <v>28-50</v>
      </c>
    </row>
    <row r="975">
      <c r="A975" s="33" t="s">
        <v>1711</v>
      </c>
      <c r="B975" s="34" t="s">
        <v>1718</v>
      </c>
      <c r="C975" s="9"/>
      <c r="D975" s="35" t="s">
        <v>1080</v>
      </c>
      <c r="E975" s="10" t="s">
        <v>1567</v>
      </c>
      <c r="F975" s="114" t="s">
        <v>1714</v>
      </c>
      <c r="G975" s="68" t="s">
        <v>1719</v>
      </c>
      <c r="I975" s="13" t="str">
        <f>IFERROR(__xludf.DUMMYFUNCTION("if(isblank(A975),,split(A975,""ー""))"),"28-48")</f>
        <v>28-48</v>
      </c>
      <c r="K975" s="13" t="str">
        <f>IFERROR(__xludf.DUMMYFUNCTION("if(isblank(B975),,split(B975,""ー""))"),"28-69")</f>
        <v>28-69</v>
      </c>
    </row>
    <row r="976">
      <c r="A976" s="33" t="s">
        <v>1720</v>
      </c>
      <c r="B976" s="16" t="s">
        <v>353</v>
      </c>
      <c r="C976" s="9"/>
      <c r="D976" s="35" t="s">
        <v>36</v>
      </c>
      <c r="E976" s="10" t="s">
        <v>1567</v>
      </c>
      <c r="F976" s="11" t="s">
        <v>355</v>
      </c>
      <c r="G976" s="37" t="s">
        <v>1721</v>
      </c>
      <c r="I976" s="13" t="str">
        <f>IFERROR(__xludf.DUMMYFUNCTION("if(isblank(A976),,split(A976,""ー""))"),"28-5")</f>
        <v>28-5</v>
      </c>
      <c r="K976" s="13" t="str">
        <f>IFERROR(__xludf.DUMMYFUNCTION("if(isblank(B976),,split(B976,""ー""))"),"20-2")</f>
        <v>20-2</v>
      </c>
    </row>
    <row r="977">
      <c r="A977" s="33" t="s">
        <v>1715</v>
      </c>
      <c r="B977" s="34" t="s">
        <v>1722</v>
      </c>
      <c r="C977" s="9"/>
      <c r="D977" s="35" t="s">
        <v>1566</v>
      </c>
      <c r="E977" s="10" t="s">
        <v>1567</v>
      </c>
      <c r="F977" s="11" t="s">
        <v>1716</v>
      </c>
      <c r="G977" s="68" t="s">
        <v>1712</v>
      </c>
      <c r="I977" s="13" t="str">
        <f>IFERROR(__xludf.DUMMYFUNCTION("if(isblank(A977),,split(A977,""ー""))"),"28-50")</f>
        <v>28-50</v>
      </c>
      <c r="K977" s="13" t="str">
        <f>IFERROR(__xludf.DUMMYFUNCTION("if(isblank(B977),,split(B977,""ー""))"),"28-52")</f>
        <v>28-52</v>
      </c>
    </row>
    <row r="978">
      <c r="A978" s="33" t="s">
        <v>1715</v>
      </c>
      <c r="B978" s="34" t="s">
        <v>1723</v>
      </c>
      <c r="C978" s="9"/>
      <c r="D978" s="35" t="s">
        <v>1566</v>
      </c>
      <c r="E978" s="10" t="s">
        <v>1567</v>
      </c>
      <c r="F978" s="11" t="s">
        <v>1716</v>
      </c>
      <c r="G978" s="68" t="s">
        <v>1724</v>
      </c>
      <c r="I978" s="13" t="str">
        <f>IFERROR(__xludf.DUMMYFUNCTION("if(isblank(A978),,split(A978,""ー""))"),"28-50")</f>
        <v>28-50</v>
      </c>
      <c r="K978" s="13" t="str">
        <f>IFERROR(__xludf.DUMMYFUNCTION("if(isblank(B978),,split(B978,""ー""))"),"28-83")</f>
        <v>28-83</v>
      </c>
    </row>
    <row r="979">
      <c r="A979" s="33" t="s">
        <v>1715</v>
      </c>
      <c r="B979" s="34" t="s">
        <v>1725</v>
      </c>
      <c r="C979" s="9"/>
      <c r="D979" s="35" t="s">
        <v>1726</v>
      </c>
      <c r="E979" s="10" t="s">
        <v>1567</v>
      </c>
      <c r="F979" s="11" t="s">
        <v>1716</v>
      </c>
      <c r="G979" s="68" t="s">
        <v>1724</v>
      </c>
      <c r="I979" s="13" t="str">
        <f>IFERROR(__xludf.DUMMYFUNCTION("if(isblank(A979),,split(A979,""ー""))"),"28-50")</f>
        <v>28-50</v>
      </c>
      <c r="K979" s="13" t="str">
        <f>IFERROR(__xludf.DUMMYFUNCTION("if(isblank(B979),,split(B979,""ー""))"),"28-84")</f>
        <v>28-84</v>
      </c>
    </row>
    <row r="980">
      <c r="A980" s="33" t="s">
        <v>1727</v>
      </c>
      <c r="B980" s="16" t="s">
        <v>1344</v>
      </c>
      <c r="C980" s="9">
        <v>43876.0</v>
      </c>
      <c r="D980" s="6" t="s">
        <v>1349</v>
      </c>
      <c r="E980" s="6" t="s">
        <v>1218</v>
      </c>
      <c r="F980" s="6" t="s">
        <v>813</v>
      </c>
      <c r="G980" s="37" t="s">
        <v>1728</v>
      </c>
      <c r="I980" s="13" t="str">
        <f>IFERROR(__xludf.DUMMYFUNCTION("if(isblank(A980),,split(A980,""ー""))"),"28-6")</f>
        <v>28-6</v>
      </c>
      <c r="K980" s="13" t="str">
        <f>IFERROR(__xludf.DUMMYFUNCTION("if(isblank(B980),,split(B980,""ー""))"),"27-2")</f>
        <v>27-2</v>
      </c>
    </row>
    <row r="981">
      <c r="A981" s="15" t="s">
        <v>1602</v>
      </c>
      <c r="B981" s="16" t="s">
        <v>1729</v>
      </c>
      <c r="C981" s="9"/>
      <c r="D981" s="35" t="s">
        <v>36</v>
      </c>
      <c r="E981" s="10" t="s">
        <v>1567</v>
      </c>
      <c r="F981" s="35" t="s">
        <v>36</v>
      </c>
      <c r="G981" s="12" t="s">
        <v>1730</v>
      </c>
      <c r="I981" s="13" t="str">
        <f>IFERROR(__xludf.DUMMYFUNCTION("if(isblank(A981),,split(A981,""ー""))"),"28-62")</f>
        <v>28-62</v>
      </c>
      <c r="K981" s="13" t="str">
        <f>IFERROR(__xludf.DUMMYFUNCTION("if(isblank(B981),,split(B981,""ー""))"),"28-113")</f>
        <v>28-113</v>
      </c>
    </row>
    <row r="982">
      <c r="A982" s="33" t="s">
        <v>1731</v>
      </c>
      <c r="B982" s="16" t="s">
        <v>353</v>
      </c>
      <c r="C982" s="9"/>
      <c r="D982" s="35" t="s">
        <v>36</v>
      </c>
      <c r="E982" s="10" t="s">
        <v>1567</v>
      </c>
      <c r="F982" s="11" t="s">
        <v>355</v>
      </c>
      <c r="G982" s="117" t="s">
        <v>1590</v>
      </c>
      <c r="I982" s="13" t="str">
        <f>IFERROR(__xludf.DUMMYFUNCTION("if(isblank(A982),,split(A982,""ー""))"),"28-7")</f>
        <v>28-7</v>
      </c>
      <c r="K982" s="13" t="str">
        <f>IFERROR(__xludf.DUMMYFUNCTION("if(isblank(B982),,split(B982,""ー""))"),"20-2")</f>
        <v>20-2</v>
      </c>
    </row>
    <row r="983">
      <c r="A983" s="33" t="s">
        <v>1731</v>
      </c>
      <c r="B983" s="16" t="s">
        <v>1732</v>
      </c>
      <c r="C983" s="9"/>
      <c r="D983" s="35" t="s">
        <v>36</v>
      </c>
      <c r="E983" s="10" t="s">
        <v>1567</v>
      </c>
      <c r="F983" s="11" t="s">
        <v>355</v>
      </c>
      <c r="G983" s="37" t="s">
        <v>1733</v>
      </c>
      <c r="I983" s="13" t="str">
        <f>IFERROR(__xludf.DUMMYFUNCTION("if(isblank(A983),,split(A983,""ー""))"),"28-7")</f>
        <v>28-7</v>
      </c>
      <c r="K983" s="13" t="str">
        <f>IFERROR(__xludf.DUMMYFUNCTION("if(isblank(B983),,split(B983,""ー""))"),"28-9")</f>
        <v>28-9</v>
      </c>
    </row>
    <row r="984">
      <c r="A984" s="33" t="s">
        <v>1645</v>
      </c>
      <c r="B984" s="16" t="s">
        <v>1734</v>
      </c>
      <c r="C984" s="9"/>
      <c r="D984" s="35" t="s">
        <v>608</v>
      </c>
      <c r="E984" s="10" t="s">
        <v>1567</v>
      </c>
      <c r="F984" s="114" t="s">
        <v>1735</v>
      </c>
      <c r="G984" s="68" t="s">
        <v>1736</v>
      </c>
      <c r="I984" s="13" t="str">
        <f>IFERROR(__xludf.DUMMYFUNCTION("if(isblank(A984),,split(A984,""ー""))"),"28-75")</f>
        <v>28-75</v>
      </c>
      <c r="K984" s="13" t="str">
        <f>IFERROR(__xludf.DUMMYFUNCTION("if(isblank(B984),,split(B984,""ー""))"),"28-76")</f>
        <v>28-76</v>
      </c>
    </row>
    <row r="985">
      <c r="A985" s="33" t="s">
        <v>1737</v>
      </c>
      <c r="B985" s="16" t="s">
        <v>1511</v>
      </c>
      <c r="C985" s="9">
        <v>43880.0</v>
      </c>
      <c r="D985" s="11" t="s">
        <v>1738</v>
      </c>
      <c r="E985" s="10" t="s">
        <v>1567</v>
      </c>
      <c r="F985" s="11" t="s">
        <v>1739</v>
      </c>
      <c r="G985" s="117" t="s">
        <v>1590</v>
      </c>
      <c r="I985" s="13" t="str">
        <f>IFERROR(__xludf.DUMMYFUNCTION("if(isblank(A985),,split(A985,""ー""))"),"28-8")</f>
        <v>28-8</v>
      </c>
      <c r="K985" s="13" t="str">
        <f>IFERROR(__xludf.DUMMYFUNCTION("if(isblank(B985),,split(B985,""ー""))"),"27-5")</f>
        <v>27-5</v>
      </c>
    </row>
    <row r="986">
      <c r="A986" s="33" t="s">
        <v>1740</v>
      </c>
      <c r="B986" s="34" t="s">
        <v>1741</v>
      </c>
      <c r="C986" s="9"/>
      <c r="D986" s="35" t="s">
        <v>1672</v>
      </c>
      <c r="E986" s="10" t="s">
        <v>1567</v>
      </c>
      <c r="F986" s="11" t="s">
        <v>1690</v>
      </c>
      <c r="G986" s="68" t="s">
        <v>1742</v>
      </c>
      <c r="I986" s="13" t="str">
        <f>IFERROR(__xludf.DUMMYFUNCTION("if(isblank(A986),,split(A986,""ー""))"),"28-82")</f>
        <v>28-82</v>
      </c>
      <c r="K986" s="13" t="str">
        <f>IFERROR(__xludf.DUMMYFUNCTION("if(isblank(B986),,split(B986,""ー""))"),"28-70または28-71")</f>
        <v>28-70または28-71</v>
      </c>
    </row>
    <row r="987">
      <c r="A987" s="15" t="s">
        <v>1609</v>
      </c>
      <c r="B987" s="16" t="s">
        <v>1743</v>
      </c>
      <c r="C987" s="9"/>
      <c r="D987" s="10" t="s">
        <v>1080</v>
      </c>
      <c r="E987" s="10" t="s">
        <v>1567</v>
      </c>
      <c r="F987" s="11" t="s">
        <v>36</v>
      </c>
      <c r="G987" s="12" t="s">
        <v>1744</v>
      </c>
      <c r="I987" s="13" t="str">
        <f>IFERROR(__xludf.DUMMYFUNCTION("if(isblank(A987),,split(A987,""ー""))"),"28-87")</f>
        <v>28-87</v>
      </c>
      <c r="K987" s="13" t="str">
        <f>IFERROR(__xludf.DUMMYFUNCTION("if(isblank(B987),,split(B987,""ー""))"),"28-109")</f>
        <v>28-109</v>
      </c>
    </row>
    <row r="988">
      <c r="A988" s="15" t="s">
        <v>1611</v>
      </c>
      <c r="B988" s="16" t="s">
        <v>1745</v>
      </c>
      <c r="C988" s="9"/>
      <c r="D988" s="10" t="s">
        <v>1080</v>
      </c>
      <c r="E988" s="10" t="s">
        <v>1567</v>
      </c>
      <c r="F988" s="11" t="s">
        <v>36</v>
      </c>
      <c r="G988" s="12" t="s">
        <v>1746</v>
      </c>
      <c r="I988" s="13" t="str">
        <f>IFERROR(__xludf.DUMMYFUNCTION("if(isblank(A988),,split(A988,""ー""))"),"28-93")</f>
        <v>28-93</v>
      </c>
      <c r="K988" s="13" t="str">
        <f>IFERROR(__xludf.DUMMYFUNCTION("if(isblank(B988),,split(B988,""ー""))"),"28-112")</f>
        <v>28-112</v>
      </c>
    </row>
    <row r="989">
      <c r="A989" s="15" t="s">
        <v>1612</v>
      </c>
      <c r="B989" s="34" t="s">
        <v>1747</v>
      </c>
      <c r="C989" s="9"/>
      <c r="D989" s="35" t="s">
        <v>608</v>
      </c>
      <c r="E989" s="10" t="s">
        <v>1567</v>
      </c>
      <c r="F989" s="11" t="s">
        <v>1651</v>
      </c>
      <c r="G989" s="44" t="s">
        <v>1748</v>
      </c>
      <c r="I989" s="13" t="str">
        <f>IFERROR(__xludf.DUMMYFUNCTION("if(isblank(A989),,split(A989,""ー""))"),"28-96")</f>
        <v>28-96</v>
      </c>
      <c r="K989" s="13" t="str">
        <f>IFERROR(__xludf.DUMMYFUNCTION("if(isblank(B989),,split(B989,""ー""))"),"28-97")</f>
        <v>28-97</v>
      </c>
    </row>
    <row r="990">
      <c r="A990" s="15" t="s">
        <v>1749</v>
      </c>
      <c r="B990" s="16" t="s">
        <v>1343</v>
      </c>
      <c r="C990" s="9"/>
      <c r="D990" s="10" t="s">
        <v>308</v>
      </c>
      <c r="E990" s="10" t="s">
        <v>1750</v>
      </c>
      <c r="F990" s="11" t="s">
        <v>1751</v>
      </c>
      <c r="G990" s="12" t="s">
        <v>1752</v>
      </c>
      <c r="I990" s="13" t="str">
        <f>IFERROR(__xludf.DUMMYFUNCTION("if(isblank(A990),,split(A990,""ー""))"),"29-5")</f>
        <v>29-5</v>
      </c>
      <c r="K990" s="13" t="str">
        <f>IFERROR(__xludf.DUMMYFUNCTION("if(isblank(B990),,split(B990,""ー""))"),"29-6")</f>
        <v>29-6</v>
      </c>
    </row>
    <row r="991">
      <c r="A991" s="15" t="s">
        <v>1753</v>
      </c>
      <c r="B991" s="16" t="s">
        <v>1754</v>
      </c>
      <c r="C991" s="9"/>
      <c r="D991" s="10" t="s">
        <v>1672</v>
      </c>
      <c r="E991" s="10" t="s">
        <v>1755</v>
      </c>
      <c r="F991" s="11" t="s">
        <v>1756</v>
      </c>
      <c r="G991" s="12" t="s">
        <v>1757</v>
      </c>
      <c r="I991" s="13" t="str">
        <f>IFERROR(__xludf.DUMMYFUNCTION("if(isblank(A991),,split(A991,""ー""))"),"30-1")</f>
        <v>30-1</v>
      </c>
      <c r="K991" s="13" t="str">
        <f>IFERROR(__xludf.DUMMYFUNCTION("if(isblank(B991),,split(B991,""ー""))"),"30-2")</f>
        <v>30-2</v>
      </c>
    </row>
    <row r="992">
      <c r="A992" s="15" t="s">
        <v>1753</v>
      </c>
      <c r="B992" s="16" t="s">
        <v>1758</v>
      </c>
      <c r="C992" s="9"/>
      <c r="D992" s="10" t="s">
        <v>1759</v>
      </c>
      <c r="E992" s="10" t="s">
        <v>1755</v>
      </c>
      <c r="F992" s="11" t="s">
        <v>1756</v>
      </c>
      <c r="G992" s="12" t="s">
        <v>1757</v>
      </c>
      <c r="I992" s="13" t="str">
        <f>IFERROR(__xludf.DUMMYFUNCTION("if(isblank(A992),,split(A992,""ー""))"),"30-1")</f>
        <v>30-1</v>
      </c>
      <c r="K992" s="13" t="str">
        <f>IFERROR(__xludf.DUMMYFUNCTION("if(isblank(B992),,split(B992,""ー""))"),"30-3")</f>
        <v>30-3</v>
      </c>
    </row>
    <row r="993">
      <c r="A993" s="15" t="s">
        <v>1753</v>
      </c>
      <c r="B993" s="16" t="s">
        <v>1760</v>
      </c>
      <c r="C993" s="9"/>
      <c r="D993" s="10" t="s">
        <v>1672</v>
      </c>
      <c r="E993" s="10" t="s">
        <v>1755</v>
      </c>
      <c r="F993" s="11" t="s">
        <v>1756</v>
      </c>
      <c r="G993" s="12" t="s">
        <v>1757</v>
      </c>
      <c r="I993" s="13" t="str">
        <f>IFERROR(__xludf.DUMMYFUNCTION("if(isblank(A993),,split(A993,""ー""))"),"30-1")</f>
        <v>30-1</v>
      </c>
      <c r="K993" s="13" t="str">
        <f>IFERROR(__xludf.DUMMYFUNCTION("if(isblank(B993),,split(B993,""ー""))"),"30-5")</f>
        <v>30-5</v>
      </c>
    </row>
    <row r="994">
      <c r="A994" s="15" t="s">
        <v>1761</v>
      </c>
      <c r="B994" s="16" t="s">
        <v>1762</v>
      </c>
      <c r="C994" s="10" t="s">
        <v>36</v>
      </c>
      <c r="D994" s="10" t="s">
        <v>36</v>
      </c>
      <c r="E994" s="10" t="s">
        <v>36</v>
      </c>
      <c r="F994" s="11" t="s">
        <v>36</v>
      </c>
      <c r="G994" s="12" t="s">
        <v>1763</v>
      </c>
      <c r="I994" s="13" t="str">
        <f>IFERROR(__xludf.DUMMYFUNCTION("if(isblank(A994),,split(A994,""ー""))"),"30-18")</f>
        <v>30-18</v>
      </c>
      <c r="K994" s="13" t="str">
        <f>IFERROR(__xludf.DUMMYFUNCTION("if(isblank(B994),,split(B994,""ー""))"),"36-3")</f>
        <v>36-3</v>
      </c>
    </row>
    <row r="995">
      <c r="A995" s="15" t="s">
        <v>1761</v>
      </c>
      <c r="B995" s="16" t="s">
        <v>941</v>
      </c>
      <c r="C995" s="9"/>
      <c r="D995" s="10" t="s">
        <v>36</v>
      </c>
      <c r="E995" s="10" t="s">
        <v>943</v>
      </c>
      <c r="F995" s="11" t="s">
        <v>944</v>
      </c>
      <c r="G995" s="68" t="s">
        <v>1764</v>
      </c>
      <c r="I995" s="13" t="str">
        <f>IFERROR(__xludf.DUMMYFUNCTION("if(isblank(A995),,split(A995,""ー""))"),"30-18")</f>
        <v>30-18</v>
      </c>
      <c r="K995" s="13" t="str">
        <f>IFERROR(__xludf.DUMMYFUNCTION("if(isblank(B995),,split(B995,""ー""))"),"38-4")</f>
        <v>38-4</v>
      </c>
    </row>
    <row r="996">
      <c r="A996" s="15" t="s">
        <v>1758</v>
      </c>
      <c r="B996" s="16" t="s">
        <v>1765</v>
      </c>
      <c r="C996" s="9"/>
      <c r="D996" s="10" t="s">
        <v>1766</v>
      </c>
      <c r="E996" s="10" t="s">
        <v>1755</v>
      </c>
      <c r="F996" s="11" t="s">
        <v>1756</v>
      </c>
      <c r="G996" s="12" t="s">
        <v>1757</v>
      </c>
      <c r="I996" s="13" t="str">
        <f>IFERROR(__xludf.DUMMYFUNCTION("if(isblank(A996),,split(A996,""ー""))"),"30-3")</f>
        <v>30-3</v>
      </c>
      <c r="K996" s="13" t="str">
        <f>IFERROR(__xludf.DUMMYFUNCTION("if(isblank(B996),,split(B996,""ー""))"),"30-12")</f>
        <v>30-12</v>
      </c>
    </row>
    <row r="997">
      <c r="A997" s="15" t="s">
        <v>1758</v>
      </c>
      <c r="B997" s="16" t="s">
        <v>1767</v>
      </c>
      <c r="C997" s="9"/>
      <c r="D997" s="10" t="s">
        <v>360</v>
      </c>
      <c r="E997" s="10" t="s">
        <v>1755</v>
      </c>
      <c r="F997" s="11" t="s">
        <v>1756</v>
      </c>
      <c r="G997" s="12" t="s">
        <v>1757</v>
      </c>
      <c r="I997" s="13" t="str">
        <f>IFERROR(__xludf.DUMMYFUNCTION("if(isblank(A997),,split(A997,""ー""))"),"30-3")</f>
        <v>30-3</v>
      </c>
      <c r="K997" s="13" t="str">
        <f>IFERROR(__xludf.DUMMYFUNCTION("if(isblank(B997),,split(B997,""ー""))"),"30-4")</f>
        <v>30-4</v>
      </c>
    </row>
    <row r="998">
      <c r="A998" s="15" t="s">
        <v>1760</v>
      </c>
      <c r="B998" s="16" t="s">
        <v>1768</v>
      </c>
      <c r="C998" s="9"/>
      <c r="D998" s="10" t="s">
        <v>30</v>
      </c>
      <c r="E998" s="10" t="s">
        <v>1755</v>
      </c>
      <c r="F998" s="11" t="s">
        <v>1756</v>
      </c>
      <c r="G998" s="12" t="s">
        <v>1757</v>
      </c>
      <c r="I998" s="13" t="str">
        <f>IFERROR(__xludf.DUMMYFUNCTION("if(isblank(A998),,split(A998,""ー""))"),"30-5")</f>
        <v>30-5</v>
      </c>
      <c r="K998" s="13" t="str">
        <f>IFERROR(__xludf.DUMMYFUNCTION("if(isblank(B998),,split(B998,""ー""))"),"30-13")</f>
        <v>30-13</v>
      </c>
    </row>
    <row r="999">
      <c r="A999" s="15" t="s">
        <v>1760</v>
      </c>
      <c r="B999" s="16" t="s">
        <v>1769</v>
      </c>
      <c r="C999" s="9"/>
      <c r="D999" s="10" t="s">
        <v>39</v>
      </c>
      <c r="E999" s="10" t="s">
        <v>1755</v>
      </c>
      <c r="F999" s="11" t="s">
        <v>1756</v>
      </c>
      <c r="G999" s="12" t="s">
        <v>1757</v>
      </c>
      <c r="I999" s="13" t="str">
        <f>IFERROR(__xludf.DUMMYFUNCTION("if(isblank(A999),,split(A999,""ー""))"),"30-5")</f>
        <v>30-5</v>
      </c>
      <c r="K999" s="13" t="str">
        <f>IFERROR(__xludf.DUMMYFUNCTION("if(isblank(B999),,split(B999,""ー""))"),"30-6")</f>
        <v>30-6</v>
      </c>
    </row>
    <row r="1000">
      <c r="A1000" s="15" t="s">
        <v>1760</v>
      </c>
      <c r="B1000" s="16" t="s">
        <v>1770</v>
      </c>
      <c r="C1000" s="9"/>
      <c r="D1000" s="10" t="s">
        <v>360</v>
      </c>
      <c r="E1000" s="10" t="s">
        <v>1755</v>
      </c>
      <c r="F1000" s="11" t="s">
        <v>1756</v>
      </c>
      <c r="G1000" s="12" t="s">
        <v>1757</v>
      </c>
      <c r="I1000" s="13" t="str">
        <f>IFERROR(__xludf.DUMMYFUNCTION("if(isblank(A1000),,split(A1000,""ー""))"),"30-5")</f>
        <v>30-5</v>
      </c>
      <c r="K1000" s="13" t="str">
        <f>IFERROR(__xludf.DUMMYFUNCTION("if(isblank(B1000),,split(B1000,""ー""))"),"30-7")</f>
        <v>30-7</v>
      </c>
    </row>
    <row r="1001">
      <c r="A1001" s="15" t="s">
        <v>1760</v>
      </c>
      <c r="B1001" s="16" t="s">
        <v>1771</v>
      </c>
      <c r="C1001" s="9"/>
      <c r="D1001" s="10" t="s">
        <v>1772</v>
      </c>
      <c r="E1001" s="10" t="s">
        <v>1755</v>
      </c>
      <c r="F1001" s="11" t="s">
        <v>1756</v>
      </c>
      <c r="G1001" s="12" t="s">
        <v>1757</v>
      </c>
      <c r="I1001" s="13" t="str">
        <f>IFERROR(__xludf.DUMMYFUNCTION("if(isblank(A1001),,split(A1001,""ー""))"),"30-5")</f>
        <v>30-5</v>
      </c>
      <c r="K1001" s="13" t="str">
        <f>IFERROR(__xludf.DUMMYFUNCTION("if(isblank(B1001),,split(B1001,""ー""))"),"30-8")</f>
        <v>30-8</v>
      </c>
    </row>
    <row r="1002">
      <c r="A1002" s="15" t="s">
        <v>1773</v>
      </c>
      <c r="B1002" s="16" t="s">
        <v>1774</v>
      </c>
      <c r="C1002" s="9"/>
      <c r="D1002" s="10" t="s">
        <v>1378</v>
      </c>
      <c r="E1002" s="10" t="s">
        <v>1775</v>
      </c>
      <c r="F1002" s="11" t="s">
        <v>1776</v>
      </c>
      <c r="G1002" s="12" t="s">
        <v>1777</v>
      </c>
      <c r="I1002" s="13" t="str">
        <f>IFERROR(__xludf.DUMMYFUNCTION("if(isblank(A1002),,split(A1002,""ー""))"),"33-10")</f>
        <v>33-10</v>
      </c>
      <c r="K1002" s="13" t="str">
        <f>IFERROR(__xludf.DUMMYFUNCTION("if(isblank(B1002),,split(B1002,""ー""))"),"33-12")</f>
        <v>33-12</v>
      </c>
    </row>
    <row r="1003">
      <c r="A1003" s="15" t="s">
        <v>1778</v>
      </c>
      <c r="B1003" s="41" t="s">
        <v>1779</v>
      </c>
      <c r="C1003" s="9">
        <v>43912.0</v>
      </c>
      <c r="D1003" s="10" t="s">
        <v>1780</v>
      </c>
      <c r="E1003" s="10" t="s">
        <v>943</v>
      </c>
      <c r="F1003" s="11" t="s">
        <v>273</v>
      </c>
      <c r="G1003" s="12" t="s">
        <v>1781</v>
      </c>
      <c r="I1003" s="13" t="str">
        <f>IFERROR(__xludf.DUMMYFUNCTION("if(isblank(A1003),,split(A1003,""ー""))"),"33-4")</f>
        <v>33-4</v>
      </c>
      <c r="K1003" s="13" t="str">
        <f>IFERROR(__xludf.DUMMYFUNCTION("if(isblank(B1003),,split(B1003,""ー""))"),"感染が確認された京都産業大の学生2名")</f>
        <v>感染が確認された京都産業大の学生2名</v>
      </c>
    </row>
    <row r="1004">
      <c r="A1004" s="15" t="s">
        <v>1782</v>
      </c>
      <c r="B1004" s="16" t="s">
        <v>1783</v>
      </c>
      <c r="C1004" s="9"/>
      <c r="D1004" s="10" t="s">
        <v>360</v>
      </c>
      <c r="E1004" s="10" t="s">
        <v>1775</v>
      </c>
      <c r="F1004" s="11" t="s">
        <v>1784</v>
      </c>
      <c r="G1004" s="12" t="s">
        <v>1785</v>
      </c>
      <c r="I1004" s="13" t="str">
        <f>IFERROR(__xludf.DUMMYFUNCTION("if(isblank(A1004),,split(A1004,""ー""))"),"33-5")</f>
        <v>33-5</v>
      </c>
      <c r="K1004" s="13" t="str">
        <f>IFERROR(__xludf.DUMMYFUNCTION("if(isblank(B1004),,split(B1004,""ー""))"),"33-6")</f>
        <v>33-6</v>
      </c>
    </row>
    <row r="1005">
      <c r="A1005" s="15" t="s">
        <v>1782</v>
      </c>
      <c r="B1005" s="16" t="s">
        <v>1786</v>
      </c>
      <c r="C1005" s="9"/>
      <c r="D1005" s="10" t="s">
        <v>1766</v>
      </c>
      <c r="E1005" s="10" t="s">
        <v>1775</v>
      </c>
      <c r="F1005" s="11" t="s">
        <v>1784</v>
      </c>
      <c r="G1005" s="12" t="s">
        <v>1785</v>
      </c>
      <c r="I1005" s="13" t="str">
        <f>IFERROR(__xludf.DUMMYFUNCTION("if(isblank(A1005),,split(A1005,""ー""))"),"33-5")</f>
        <v>33-5</v>
      </c>
      <c r="K1005" s="13" t="str">
        <f>IFERROR(__xludf.DUMMYFUNCTION("if(isblank(B1005),,split(B1005,""ー""))"),"33-7")</f>
        <v>33-7</v>
      </c>
    </row>
    <row r="1006">
      <c r="A1006" s="15" t="s">
        <v>1787</v>
      </c>
      <c r="B1006" s="16" t="s">
        <v>1788</v>
      </c>
      <c r="C1006" s="9"/>
      <c r="D1006" s="10" t="s">
        <v>30</v>
      </c>
      <c r="E1006" s="10" t="s">
        <v>1789</v>
      </c>
      <c r="F1006" s="11" t="s">
        <v>1790</v>
      </c>
      <c r="G1006" s="12" t="s">
        <v>1791</v>
      </c>
      <c r="I1006" s="13" t="str">
        <f>IFERROR(__xludf.DUMMYFUNCTION("if(isblank(A1006),,split(A1006,""ー""))"),"34-2")</f>
        <v>34-2</v>
      </c>
      <c r="K1006" s="13" t="str">
        <f>IFERROR(__xludf.DUMMYFUNCTION("if(isblank(B1006),,split(B1006,""ー""))"),"34-3")</f>
        <v>34-3</v>
      </c>
    </row>
    <row r="1007">
      <c r="A1007" s="15" t="s">
        <v>1792</v>
      </c>
      <c r="B1007" s="16" t="s">
        <v>1793</v>
      </c>
      <c r="C1007" s="61">
        <v>43915.0</v>
      </c>
      <c r="D1007" s="10" t="s">
        <v>1051</v>
      </c>
      <c r="E1007" s="10" t="s">
        <v>1789</v>
      </c>
      <c r="F1007" s="11" t="s">
        <v>36</v>
      </c>
      <c r="G1007" s="12" t="s">
        <v>1794</v>
      </c>
      <c r="I1007" s="13" t="str">
        <f>IFERROR(__xludf.DUMMYFUNCTION("if(isblank(A1007),,split(A1007,""ー""))"),"34-5")</f>
        <v>34-5</v>
      </c>
      <c r="K1007" s="13" t="str">
        <f>IFERROR(__xludf.DUMMYFUNCTION("if(isblank(B1007),,split(B1007,""ー""))"),"34-10")</f>
        <v>34-10</v>
      </c>
    </row>
    <row r="1008">
      <c r="A1008" s="15" t="s">
        <v>1795</v>
      </c>
      <c r="B1008" s="16" t="s">
        <v>1796</v>
      </c>
      <c r="C1008" s="9"/>
      <c r="D1008" s="10" t="s">
        <v>308</v>
      </c>
      <c r="E1008" s="10" t="s">
        <v>1797</v>
      </c>
      <c r="F1008" s="11" t="s">
        <v>1798</v>
      </c>
      <c r="G1008" s="12" t="s">
        <v>1799</v>
      </c>
      <c r="I1008" s="13" t="str">
        <f>IFERROR(__xludf.DUMMYFUNCTION("if(isblank(A1008),,split(A1008,""ー""))"),"35-1")</f>
        <v>35-1</v>
      </c>
      <c r="K1008" s="13" t="str">
        <f>IFERROR(__xludf.DUMMYFUNCTION("if(isblank(B1008),,split(B1008,""ー""))"),"35-2")</f>
        <v>35-2</v>
      </c>
    </row>
    <row r="1009">
      <c r="A1009" s="15" t="s">
        <v>1795</v>
      </c>
      <c r="B1009" s="16" t="s">
        <v>1800</v>
      </c>
      <c r="C1009" s="9"/>
      <c r="D1009" s="10" t="s">
        <v>308</v>
      </c>
      <c r="E1009" s="10" t="s">
        <v>1797</v>
      </c>
      <c r="F1009" s="11" t="s">
        <v>1798</v>
      </c>
      <c r="G1009" s="12" t="s">
        <v>1799</v>
      </c>
      <c r="I1009" s="13" t="str">
        <f>IFERROR(__xludf.DUMMYFUNCTION("if(isblank(A1009),,split(A1009,""ー""))"),"35-1")</f>
        <v>35-1</v>
      </c>
      <c r="K1009" s="13" t="str">
        <f>IFERROR(__xludf.DUMMYFUNCTION("if(isblank(B1009),,split(B1009,""ー""))"),"35-3")</f>
        <v>35-3</v>
      </c>
    </row>
    <row r="1010">
      <c r="A1010" s="15" t="s">
        <v>1801</v>
      </c>
      <c r="B1010" s="16" t="s">
        <v>1802</v>
      </c>
      <c r="C1010" s="9"/>
      <c r="D1010" s="10" t="s">
        <v>308</v>
      </c>
      <c r="E1010" s="10" t="s">
        <v>1797</v>
      </c>
      <c r="F1010" s="11" t="s">
        <v>1803</v>
      </c>
      <c r="G1010" s="12" t="s">
        <v>1804</v>
      </c>
      <c r="I1010" s="13" t="str">
        <f>IFERROR(__xludf.DUMMYFUNCTION("if(isblank(A1010),,split(A1010,""ー""))"),"35-5")</f>
        <v>35-5</v>
      </c>
      <c r="K1010" s="13" t="str">
        <f>IFERROR(__xludf.DUMMYFUNCTION("if(isblank(B1010),,split(B1010,""ー""))"),"35-6")</f>
        <v>35-6</v>
      </c>
    </row>
    <row r="1011">
      <c r="A1011" s="15" t="s">
        <v>1805</v>
      </c>
      <c r="B1011" s="16" t="s">
        <v>1806</v>
      </c>
      <c r="C1011" s="9"/>
      <c r="D1011" s="10" t="s">
        <v>1807</v>
      </c>
      <c r="E1011" s="10" t="s">
        <v>1797</v>
      </c>
      <c r="F1011" s="11" t="s">
        <v>36</v>
      </c>
      <c r="G1011" s="12" t="s">
        <v>1804</v>
      </c>
      <c r="I1011" s="13" t="str">
        <f>IFERROR(__xludf.DUMMYFUNCTION("if(isblank(A1011),,split(A1011,""ー""))"),"35-8")</f>
        <v>35-8</v>
      </c>
      <c r="K1011" s="13" t="str">
        <f>IFERROR(__xludf.DUMMYFUNCTION("if(isblank(B1011),,split(B1011,""ー""))"),"35-10")</f>
        <v>35-10</v>
      </c>
    </row>
    <row r="1012">
      <c r="A1012" s="15" t="s">
        <v>1805</v>
      </c>
      <c r="B1012" s="16" t="s">
        <v>1808</v>
      </c>
      <c r="C1012" s="9"/>
      <c r="D1012" s="10" t="s">
        <v>1807</v>
      </c>
      <c r="E1012" s="10" t="s">
        <v>1797</v>
      </c>
      <c r="F1012" s="11" t="s">
        <v>36</v>
      </c>
      <c r="G1012" s="12" t="s">
        <v>1804</v>
      </c>
      <c r="I1012" s="13" t="str">
        <f>IFERROR(__xludf.DUMMYFUNCTION("if(isblank(A1012),,split(A1012,""ー""))"),"35-8")</f>
        <v>35-8</v>
      </c>
      <c r="K1012" s="13" t="str">
        <f>IFERROR(__xludf.DUMMYFUNCTION("if(isblank(B1012),,split(B1012,""ー""))"),"35-11")</f>
        <v>35-11</v>
      </c>
    </row>
    <row r="1013">
      <c r="A1013" s="15" t="s">
        <v>1805</v>
      </c>
      <c r="B1013" s="16" t="s">
        <v>1809</v>
      </c>
      <c r="C1013" s="9"/>
      <c r="D1013" s="10" t="s">
        <v>1807</v>
      </c>
      <c r="E1013" s="10" t="s">
        <v>1797</v>
      </c>
      <c r="F1013" s="11" t="s">
        <v>36</v>
      </c>
      <c r="G1013" s="12" t="s">
        <v>1804</v>
      </c>
      <c r="I1013" s="13" t="str">
        <f>IFERROR(__xludf.DUMMYFUNCTION("if(isblank(A1013),,split(A1013,""ー""))"),"35-8")</f>
        <v>35-8</v>
      </c>
      <c r="K1013" s="13" t="str">
        <f>IFERROR(__xludf.DUMMYFUNCTION("if(isblank(B1013),,split(B1013,""ー""))"),"35-12")</f>
        <v>35-12</v>
      </c>
    </row>
    <row r="1014">
      <c r="A1014" s="15" t="s">
        <v>1805</v>
      </c>
      <c r="B1014" s="16" t="s">
        <v>1810</v>
      </c>
      <c r="C1014" s="9"/>
      <c r="D1014" s="10" t="s">
        <v>1807</v>
      </c>
      <c r="E1014" s="10" t="s">
        <v>1797</v>
      </c>
      <c r="F1014" s="11" t="s">
        <v>36</v>
      </c>
      <c r="G1014" s="12" t="s">
        <v>1804</v>
      </c>
      <c r="I1014" s="13" t="str">
        <f>IFERROR(__xludf.DUMMYFUNCTION("if(isblank(A1014),,split(A1014,""ー""))"),"35-8")</f>
        <v>35-8</v>
      </c>
      <c r="K1014" s="13" t="str">
        <f>IFERROR(__xludf.DUMMYFUNCTION("if(isblank(B1014),,split(B1014,""ー""))"),"35-9")</f>
        <v>35-9</v>
      </c>
    </row>
    <row r="1015">
      <c r="A1015" s="15" t="s">
        <v>1811</v>
      </c>
      <c r="B1015" s="16" t="s">
        <v>941</v>
      </c>
      <c r="C1015" s="61">
        <v>43911.0</v>
      </c>
      <c r="D1015" s="10" t="s">
        <v>36</v>
      </c>
      <c r="E1015" s="10" t="s">
        <v>943</v>
      </c>
      <c r="F1015" s="11" t="s">
        <v>944</v>
      </c>
      <c r="G1015" s="12" t="s">
        <v>1812</v>
      </c>
      <c r="I1015" s="13" t="str">
        <f>IFERROR(__xludf.DUMMYFUNCTION("if(isblank(A1015),,split(A1015,""ー""))"),"36-2")</f>
        <v>36-2</v>
      </c>
      <c r="K1015" s="13" t="str">
        <f>IFERROR(__xludf.DUMMYFUNCTION("if(isblank(B1015),,split(B1015,""ー""))"),"38-4")</f>
        <v>38-4</v>
      </c>
    </row>
    <row r="1016">
      <c r="A1016" s="15" t="s">
        <v>1813</v>
      </c>
      <c r="B1016" s="16" t="s">
        <v>941</v>
      </c>
      <c r="C1016" s="61">
        <v>43911.0</v>
      </c>
      <c r="D1016" s="10" t="s">
        <v>36</v>
      </c>
      <c r="E1016" s="10" t="s">
        <v>943</v>
      </c>
      <c r="F1016" s="11" t="s">
        <v>944</v>
      </c>
      <c r="G1016" s="12" t="s">
        <v>1814</v>
      </c>
      <c r="I1016" s="13" t="str">
        <f>IFERROR(__xludf.DUMMYFUNCTION("if(isblank(A1016),,split(A1016,""ー""))"),"37-2")</f>
        <v>37-2</v>
      </c>
      <c r="K1016" s="13" t="str">
        <f>IFERROR(__xludf.DUMMYFUNCTION("if(isblank(B1016),,split(B1016,""ー""))"),"38-4")</f>
        <v>38-4</v>
      </c>
    </row>
    <row r="1017">
      <c r="A1017" s="69" t="s">
        <v>1815</v>
      </c>
      <c r="B1017" s="75" t="s">
        <v>1816</v>
      </c>
      <c r="C1017" s="13"/>
      <c r="D1017" s="6" t="s">
        <v>36</v>
      </c>
      <c r="E1017" s="10" t="s">
        <v>385</v>
      </c>
      <c r="F1017" s="11" t="s">
        <v>36</v>
      </c>
      <c r="G1017" s="43" t="s">
        <v>1817</v>
      </c>
      <c r="I1017" s="13" t="str">
        <f>IFERROR(__xludf.DUMMYFUNCTION("if(isblank(A1017),,split(A1017,""ー""))"),"38-10")</f>
        <v>38-10</v>
      </c>
      <c r="K1017" s="13" t="str">
        <f>IFERROR(__xludf.DUMMYFUNCTION("if(isblank(B1017),,split(B1017,""ー""))"),"38-11")</f>
        <v>38-11</v>
      </c>
    </row>
    <row r="1018">
      <c r="A1018" s="69" t="s">
        <v>1815</v>
      </c>
      <c r="B1018" s="75" t="s">
        <v>1818</v>
      </c>
      <c r="C1018" s="9"/>
      <c r="D1018" s="6" t="s">
        <v>36</v>
      </c>
      <c r="E1018" s="10" t="s">
        <v>385</v>
      </c>
      <c r="F1018" s="11" t="s">
        <v>36</v>
      </c>
      <c r="G1018" s="12" t="s">
        <v>1819</v>
      </c>
      <c r="I1018" s="13" t="str">
        <f>IFERROR(__xludf.DUMMYFUNCTION("if(isblank(A1018),,split(A1018,""ー""))"),"38-10")</f>
        <v>38-10</v>
      </c>
      <c r="K1018" s="13" t="str">
        <f>IFERROR(__xludf.DUMMYFUNCTION("if(isblank(B1018),,split(B1018,""ー""))"),"38-12")</f>
        <v>38-12</v>
      </c>
    </row>
    <row r="1019">
      <c r="A1019" s="69" t="s">
        <v>1815</v>
      </c>
      <c r="B1019" s="75" t="s">
        <v>1820</v>
      </c>
      <c r="C1019" s="9"/>
      <c r="D1019" s="6" t="s">
        <v>36</v>
      </c>
      <c r="E1019" s="10" t="s">
        <v>385</v>
      </c>
      <c r="F1019" s="11" t="s">
        <v>36</v>
      </c>
      <c r="G1019" s="12" t="s">
        <v>1819</v>
      </c>
      <c r="I1019" s="13" t="str">
        <f>IFERROR(__xludf.DUMMYFUNCTION("if(isblank(A1019),,split(A1019,""ー""))"),"38-10")</f>
        <v>38-10</v>
      </c>
      <c r="K1019" s="13" t="str">
        <f>IFERROR(__xludf.DUMMYFUNCTION("if(isblank(B1019),,split(B1019,""ー""))"),"38-13")</f>
        <v>38-13</v>
      </c>
    </row>
    <row r="1020">
      <c r="A1020" s="15" t="s">
        <v>1815</v>
      </c>
      <c r="B1020" s="16" t="s">
        <v>1821</v>
      </c>
      <c r="C1020" s="9"/>
      <c r="D1020" s="6" t="s">
        <v>36</v>
      </c>
      <c r="E1020" s="10" t="s">
        <v>385</v>
      </c>
      <c r="F1020" s="11" t="s">
        <v>36</v>
      </c>
      <c r="G1020" s="12" t="s">
        <v>1822</v>
      </c>
      <c r="I1020" s="13" t="str">
        <f>IFERROR(__xludf.DUMMYFUNCTION("if(isblank(A1020),,split(A1020,""ー""))"),"38-10")</f>
        <v>38-10</v>
      </c>
      <c r="K1020" s="13" t="str">
        <f>IFERROR(__xludf.DUMMYFUNCTION("if(isblank(B1020),,split(B1020,""ー""))"),"38-21")</f>
        <v>38-21</v>
      </c>
    </row>
    <row r="1021">
      <c r="A1021" s="15" t="s">
        <v>1818</v>
      </c>
      <c r="B1021" s="16" t="s">
        <v>1823</v>
      </c>
      <c r="C1021" s="9"/>
      <c r="D1021" s="6" t="s">
        <v>36</v>
      </c>
      <c r="E1021" s="10" t="s">
        <v>385</v>
      </c>
      <c r="F1021" s="11" t="s">
        <v>36</v>
      </c>
      <c r="G1021" s="12" t="s">
        <v>1824</v>
      </c>
      <c r="I1021" s="13" t="str">
        <f>IFERROR(__xludf.DUMMYFUNCTION("if(isblank(A1021),,split(A1021,""ー""))"),"38-12")</f>
        <v>38-12</v>
      </c>
      <c r="K1021" s="13" t="str">
        <f>IFERROR(__xludf.DUMMYFUNCTION("if(isblank(B1021),,split(B1021,""ー""))"),"38-19")</f>
        <v>38-19</v>
      </c>
    </row>
    <row r="1022">
      <c r="A1022" s="69" t="s">
        <v>1821</v>
      </c>
      <c r="B1022" s="71" t="s">
        <v>1825</v>
      </c>
      <c r="C1022" s="77"/>
      <c r="D1022" s="6" t="s">
        <v>36</v>
      </c>
      <c r="E1022" s="10" t="s">
        <v>385</v>
      </c>
      <c r="F1022" s="11" t="s">
        <v>36</v>
      </c>
      <c r="G1022" s="12" t="s">
        <v>1822</v>
      </c>
      <c r="I1022" s="13" t="str">
        <f>IFERROR(__xludf.DUMMYFUNCTION("if(isblank(A1022),,split(A1022,""ー""))"),"38-21")</f>
        <v>38-21</v>
      </c>
      <c r="K1022" s="13" t="str">
        <f>IFERROR(__xludf.DUMMYFUNCTION("if(isblank(B1022),,split(B1022,""ー""))"),"38-23")</f>
        <v>38-23</v>
      </c>
    </row>
    <row r="1023">
      <c r="A1023" s="69" t="s">
        <v>812</v>
      </c>
      <c r="B1023" s="71" t="s">
        <v>1826</v>
      </c>
      <c r="C1023" s="77"/>
      <c r="D1023" s="65" t="s">
        <v>39</v>
      </c>
      <c r="E1023" s="10" t="s">
        <v>20</v>
      </c>
      <c r="F1023" s="78" t="s">
        <v>55</v>
      </c>
      <c r="G1023" s="49" t="s">
        <v>1827</v>
      </c>
      <c r="I1023" s="13" t="str">
        <f>IFERROR(__xludf.DUMMYFUNCTION("if(isblank(A1023),,split(A1023,""ー""))"),"39-1")</f>
        <v>39-1</v>
      </c>
      <c r="K1023" s="13" t="str">
        <f>IFERROR(__xludf.DUMMYFUNCTION("if(isblank(B1023),,split(B1023,""ー""))"),"39-2")</f>
        <v>39-2</v>
      </c>
    </row>
    <row r="1024">
      <c r="A1024" s="69" t="s">
        <v>812</v>
      </c>
      <c r="B1024" s="71" t="s">
        <v>1828</v>
      </c>
      <c r="C1024" s="77"/>
      <c r="D1024" s="65" t="s">
        <v>931</v>
      </c>
      <c r="E1024" s="10" t="s">
        <v>20</v>
      </c>
      <c r="F1024" s="78" t="s">
        <v>55</v>
      </c>
      <c r="G1024" s="49" t="s">
        <v>1829</v>
      </c>
      <c r="I1024" s="13" t="str">
        <f>IFERROR(__xludf.DUMMYFUNCTION("if(isblank(A1024),,split(A1024,""ー""))"),"39-1")</f>
        <v>39-1</v>
      </c>
      <c r="K1024" s="13" t="str">
        <f>IFERROR(__xludf.DUMMYFUNCTION("if(isblank(B1024),,split(B1024,""ー""))"),"39-3")</f>
        <v>39-3</v>
      </c>
    </row>
    <row r="1025">
      <c r="A1025" s="69" t="s">
        <v>812</v>
      </c>
      <c r="B1025" s="71" t="s">
        <v>1830</v>
      </c>
      <c r="C1025" s="77">
        <v>37301.0</v>
      </c>
      <c r="D1025" s="65" t="s">
        <v>30</v>
      </c>
      <c r="E1025" s="10" t="s">
        <v>20</v>
      </c>
      <c r="F1025" s="78" t="s">
        <v>55</v>
      </c>
      <c r="G1025" s="49" t="s">
        <v>1831</v>
      </c>
      <c r="I1025" s="13" t="str">
        <f>IFERROR(__xludf.DUMMYFUNCTION("if(isblank(A1025),,split(A1025,""ー""))"),"39-1")</f>
        <v>39-1</v>
      </c>
      <c r="K1025" s="13" t="str">
        <f>IFERROR(__xludf.DUMMYFUNCTION("if(isblank(B1025),,split(B1025,""ー""))"),"39-4")</f>
        <v>39-4</v>
      </c>
    </row>
    <row r="1026">
      <c r="A1026" s="69" t="s">
        <v>1832</v>
      </c>
      <c r="B1026" s="71" t="s">
        <v>464</v>
      </c>
      <c r="C1026" s="77">
        <v>43882.0</v>
      </c>
      <c r="D1026" s="118" t="s">
        <v>282</v>
      </c>
      <c r="E1026" s="119" t="s">
        <v>36</v>
      </c>
      <c r="F1026" s="120" t="s">
        <v>283</v>
      </c>
      <c r="G1026" s="49" t="s">
        <v>1833</v>
      </c>
      <c r="I1026" s="13" t="str">
        <f>IFERROR(__xludf.DUMMYFUNCTION("if(isblank(A1026),,split(A1026,""ー""))"),"39-12")</f>
        <v>39-12</v>
      </c>
      <c r="K1026" s="38">
        <f>IFERROR(__xludf.DUMMYFUNCTION("if(isblank(B1026),,split(B1026,""ー""))"),44190.0)</f>
        <v>44190</v>
      </c>
    </row>
    <row r="1027">
      <c r="A1027" s="15" t="s">
        <v>1834</v>
      </c>
      <c r="B1027" s="16" t="s">
        <v>1835</v>
      </c>
      <c r="C1027" s="9"/>
      <c r="D1027" s="10" t="s">
        <v>308</v>
      </c>
      <c r="E1027" s="10" t="s">
        <v>20</v>
      </c>
      <c r="F1027" s="121" t="s">
        <v>55</v>
      </c>
      <c r="G1027" s="12" t="s">
        <v>1836</v>
      </c>
      <c r="I1027" s="13" t="str">
        <f>IFERROR(__xludf.DUMMYFUNCTION("if(isblank(A1027),,split(A1027,""ー""))"),"39-13")</f>
        <v>39-13</v>
      </c>
      <c r="K1027" s="13" t="str">
        <f>IFERROR(__xludf.DUMMYFUNCTION("if(isblank(B1027),,split(B1027,""ー""))"),"39-14")</f>
        <v>39-14</v>
      </c>
    </row>
    <row r="1028">
      <c r="A1028" s="15" t="s">
        <v>1834</v>
      </c>
      <c r="B1028" s="16" t="s">
        <v>1837</v>
      </c>
      <c r="C1028" s="9">
        <v>43911.0</v>
      </c>
      <c r="D1028" s="10" t="s">
        <v>1838</v>
      </c>
      <c r="E1028" s="10" t="s">
        <v>20</v>
      </c>
      <c r="F1028" s="11" t="s">
        <v>1839</v>
      </c>
      <c r="G1028" s="12" t="s">
        <v>1840</v>
      </c>
      <c r="I1028" s="13" t="str">
        <f>IFERROR(__xludf.DUMMYFUNCTION("if(isblank(A1028),,split(A1028,""ー""))"),"39-13")</f>
        <v>39-13</v>
      </c>
      <c r="K1028" s="13" t="str">
        <f>IFERROR(__xludf.DUMMYFUNCTION("if(isblank(B1028),,split(B1028,""ー""))"),"39-16")</f>
        <v>39-16</v>
      </c>
    </row>
    <row r="1029">
      <c r="A1029" s="15" t="s">
        <v>1834</v>
      </c>
      <c r="B1029" s="16" t="s">
        <v>1841</v>
      </c>
      <c r="C1029" s="9">
        <v>43911.0</v>
      </c>
      <c r="D1029" s="10" t="s">
        <v>1838</v>
      </c>
      <c r="E1029" s="10" t="s">
        <v>20</v>
      </c>
      <c r="F1029" s="11" t="s">
        <v>1839</v>
      </c>
      <c r="G1029" s="12" t="s">
        <v>1842</v>
      </c>
      <c r="I1029" s="13" t="str">
        <f>IFERROR(__xludf.DUMMYFUNCTION("if(isblank(A1029),,split(A1029,""ー""))"),"39-13")</f>
        <v>39-13</v>
      </c>
      <c r="K1029" s="13" t="str">
        <f>IFERROR(__xludf.DUMMYFUNCTION("if(isblank(B1029),,split(B1029,""ー""))"),"39-18")</f>
        <v>39-18</v>
      </c>
    </row>
    <row r="1030">
      <c r="A1030" s="15" t="s">
        <v>1834</v>
      </c>
      <c r="B1030" s="16" t="s">
        <v>1843</v>
      </c>
      <c r="C1030" s="122">
        <v>43911.0</v>
      </c>
      <c r="D1030" s="10" t="s">
        <v>1838</v>
      </c>
      <c r="E1030" s="10" t="s">
        <v>20</v>
      </c>
      <c r="F1030" s="11" t="s">
        <v>1839</v>
      </c>
      <c r="G1030" s="12" t="s">
        <v>1844</v>
      </c>
      <c r="I1030" s="13" t="str">
        <f>IFERROR(__xludf.DUMMYFUNCTION("if(isblank(A1030),,split(A1030,""ー""))"),"39-13")</f>
        <v>39-13</v>
      </c>
      <c r="K1030" s="13" t="str">
        <f>IFERROR(__xludf.DUMMYFUNCTION("if(isblank(B1030),,split(B1030,""ー""))"),"39-21")</f>
        <v>39-21</v>
      </c>
    </row>
    <row r="1031">
      <c r="A1031" s="15" t="s">
        <v>1834</v>
      </c>
      <c r="B1031" s="16" t="s">
        <v>1845</v>
      </c>
      <c r="C1031" s="9">
        <v>43911.0</v>
      </c>
      <c r="D1031" s="10" t="s">
        <v>1838</v>
      </c>
      <c r="E1031" s="10" t="s">
        <v>20</v>
      </c>
      <c r="F1031" s="11" t="s">
        <v>1839</v>
      </c>
      <c r="G1031" s="12" t="s">
        <v>1846</v>
      </c>
      <c r="I1031" s="13" t="str">
        <f>IFERROR(__xludf.DUMMYFUNCTION("if(isblank(A1031),,split(A1031,""ー""))"),"39-13")</f>
        <v>39-13</v>
      </c>
      <c r="K1031" s="13" t="str">
        <f>IFERROR(__xludf.DUMMYFUNCTION("if(isblank(B1031),,split(B1031,""ー""))"),"39-27")</f>
        <v>39-27</v>
      </c>
    </row>
    <row r="1032">
      <c r="A1032" s="15" t="s">
        <v>1847</v>
      </c>
      <c r="B1032" s="16" t="s">
        <v>13</v>
      </c>
      <c r="C1032" s="9"/>
      <c r="D1032" s="10" t="s">
        <v>30</v>
      </c>
      <c r="E1032" s="10" t="s">
        <v>20</v>
      </c>
      <c r="F1032" s="11" t="s">
        <v>1848</v>
      </c>
      <c r="G1032" s="11" t="s">
        <v>1849</v>
      </c>
      <c r="I1032" s="13" t="str">
        <f>IFERROR(__xludf.DUMMYFUNCTION("if(isblank(A1032),,split(A1032,""ー""))"),"39-17")</f>
        <v>39-17</v>
      </c>
      <c r="K1032" s="13" t="str">
        <f>IFERROR(__xludf.DUMMYFUNCTION("if(isblank(B1032),,split(B1032,""ー""))"),"39-20")</f>
        <v>39-20</v>
      </c>
    </row>
    <row r="1033">
      <c r="A1033" s="15" t="s">
        <v>1847</v>
      </c>
      <c r="B1033" s="16" t="s">
        <v>32</v>
      </c>
      <c r="C1033" s="9"/>
      <c r="D1033" s="10" t="s">
        <v>30</v>
      </c>
      <c r="E1033" s="10" t="s">
        <v>20</v>
      </c>
      <c r="F1033" s="11" t="s">
        <v>1848</v>
      </c>
      <c r="G1033" s="12" t="s">
        <v>1850</v>
      </c>
      <c r="I1033" s="13" t="str">
        <f>IFERROR(__xludf.DUMMYFUNCTION("if(isblank(A1033),,split(A1033,""ー""))"),"39-17")</f>
        <v>39-17</v>
      </c>
      <c r="K1033" s="13" t="str">
        <f>IFERROR(__xludf.DUMMYFUNCTION("if(isblank(B1033),,split(B1033,""ー""))"),"39-24")</f>
        <v>39-24</v>
      </c>
    </row>
    <row r="1034">
      <c r="A1034" s="15" t="s">
        <v>13</v>
      </c>
      <c r="B1034" s="16" t="s">
        <v>32</v>
      </c>
      <c r="C1034" s="9"/>
      <c r="D1034" s="10" t="s">
        <v>30</v>
      </c>
      <c r="E1034" s="10" t="s">
        <v>20</v>
      </c>
      <c r="F1034" s="11" t="s">
        <v>1848</v>
      </c>
      <c r="G1034" s="12" t="s">
        <v>1850</v>
      </c>
      <c r="I1034" s="13" t="str">
        <f>IFERROR(__xludf.DUMMYFUNCTION("if(isblank(A1034),,split(A1034,""ー""))"),"39-20")</f>
        <v>39-20</v>
      </c>
      <c r="K1034" s="13" t="str">
        <f>IFERROR(__xludf.DUMMYFUNCTION("if(isblank(B1034),,split(B1034,""ー""))"),"39-24")</f>
        <v>39-24</v>
      </c>
    </row>
    <row r="1035">
      <c r="A1035" s="15" t="s">
        <v>1851</v>
      </c>
      <c r="B1035" s="16" t="s">
        <v>1852</v>
      </c>
      <c r="C1035" s="9"/>
      <c r="D1035" s="123" t="s">
        <v>39</v>
      </c>
      <c r="E1035" s="17" t="s">
        <v>20</v>
      </c>
      <c r="F1035" s="29" t="s">
        <v>55</v>
      </c>
      <c r="G1035" s="12" t="s">
        <v>1850</v>
      </c>
      <c r="I1035" s="13" t="str">
        <f>IFERROR(__xludf.DUMMYFUNCTION("if(isblank(A1035),,split(A1035,""ー""))"),"39-22")</f>
        <v>39-22</v>
      </c>
      <c r="K1035" s="13" t="str">
        <f>IFERROR(__xludf.DUMMYFUNCTION("if(isblank(B1035),,split(B1035,""ー""))"),"39-25")</f>
        <v>39-25</v>
      </c>
    </row>
    <row r="1036">
      <c r="A1036" s="15" t="s">
        <v>28</v>
      </c>
      <c r="B1036" s="16" t="s">
        <v>1853</v>
      </c>
      <c r="C1036" s="9"/>
      <c r="D1036" s="10" t="s">
        <v>541</v>
      </c>
      <c r="E1036" s="10" t="s">
        <v>20</v>
      </c>
      <c r="F1036" s="11" t="s">
        <v>1854</v>
      </c>
      <c r="G1036" s="12" t="s">
        <v>1855</v>
      </c>
      <c r="I1036" s="13" t="str">
        <f>IFERROR(__xludf.DUMMYFUNCTION("if(isblank(A1036),,split(A1036,""ー""))"),"39-23")</f>
        <v>39-23</v>
      </c>
      <c r="K1036" s="13" t="str">
        <f>IFERROR(__xludf.DUMMYFUNCTION("if(isblank(B1036),,split(B1036,""ー""))"),"39-28")</f>
        <v>39-28</v>
      </c>
    </row>
    <row r="1037">
      <c r="A1037" s="15" t="s">
        <v>33</v>
      </c>
      <c r="B1037" s="16" t="s">
        <v>1856</v>
      </c>
      <c r="C1037" s="9"/>
      <c r="D1037" s="6" t="s">
        <v>360</v>
      </c>
      <c r="E1037" s="17" t="s">
        <v>20</v>
      </c>
      <c r="F1037" s="29" t="s">
        <v>55</v>
      </c>
      <c r="G1037" s="49" t="s">
        <v>1846</v>
      </c>
      <c r="I1037" s="13" t="str">
        <f>IFERROR(__xludf.DUMMYFUNCTION("if(isblank(A1037),,split(A1037,""ー""))"),"39-26")</f>
        <v>39-26</v>
      </c>
      <c r="K1037" s="13" t="str">
        <f>IFERROR(__xludf.DUMMYFUNCTION("if(isblank(B1037),,split(B1037,""ー""))"),"39-29")</f>
        <v>39-29</v>
      </c>
    </row>
    <row r="1038">
      <c r="A1038" s="15" t="s">
        <v>33</v>
      </c>
      <c r="B1038" s="16" t="s">
        <v>1857</v>
      </c>
      <c r="C1038" s="13"/>
      <c r="D1038" s="6" t="s">
        <v>1858</v>
      </c>
      <c r="E1038" s="17" t="s">
        <v>20</v>
      </c>
      <c r="F1038" s="29" t="s">
        <v>55</v>
      </c>
      <c r="G1038" s="49" t="s">
        <v>1846</v>
      </c>
      <c r="I1038" s="13" t="str">
        <f>IFERROR(__xludf.DUMMYFUNCTION("if(isblank(A1038),,split(A1038,""ー""))"),"39-26")</f>
        <v>39-26</v>
      </c>
      <c r="K1038" s="13" t="str">
        <f>IFERROR(__xludf.DUMMYFUNCTION("if(isblank(B1038),,split(B1038,""ー""))"),"39-30")</f>
        <v>39-30</v>
      </c>
    </row>
    <row r="1039">
      <c r="A1039" s="15" t="s">
        <v>33</v>
      </c>
      <c r="B1039" s="16" t="s">
        <v>1859</v>
      </c>
      <c r="C1039" s="13"/>
      <c r="D1039" s="6" t="s">
        <v>149</v>
      </c>
      <c r="E1039" s="17" t="s">
        <v>20</v>
      </c>
      <c r="F1039" s="29" t="s">
        <v>55</v>
      </c>
      <c r="G1039" s="49" t="s">
        <v>1846</v>
      </c>
      <c r="I1039" s="13" t="str">
        <f>IFERROR(__xludf.DUMMYFUNCTION("if(isblank(A1039),,split(A1039,""ー""))"),"39-26")</f>
        <v>39-26</v>
      </c>
      <c r="K1039" s="13" t="str">
        <f>IFERROR(__xludf.DUMMYFUNCTION("if(isblank(B1039),,split(B1039,""ー""))"),"39-31")</f>
        <v>39-31</v>
      </c>
    </row>
    <row r="1040">
      <c r="A1040" s="15" t="s">
        <v>33</v>
      </c>
      <c r="B1040" s="16" t="s">
        <v>1860</v>
      </c>
      <c r="C1040" s="13"/>
      <c r="D1040" s="6" t="s">
        <v>1858</v>
      </c>
      <c r="E1040" s="17" t="s">
        <v>20</v>
      </c>
      <c r="F1040" s="29" t="s">
        <v>55</v>
      </c>
      <c r="G1040" s="49" t="s">
        <v>1846</v>
      </c>
      <c r="I1040" s="13" t="str">
        <f>IFERROR(__xludf.DUMMYFUNCTION("if(isblank(A1040),,split(A1040,""ー""))"),"39-26")</f>
        <v>39-26</v>
      </c>
      <c r="K1040" s="13" t="str">
        <f>IFERROR(__xludf.DUMMYFUNCTION("if(isblank(B1040),,split(B1040,""ー""))"),"39-32")</f>
        <v>39-32</v>
      </c>
    </row>
    <row r="1041">
      <c r="A1041" s="69" t="s">
        <v>1828</v>
      </c>
      <c r="B1041" s="71" t="s">
        <v>1861</v>
      </c>
      <c r="C1041" s="77"/>
      <c r="D1041" s="65" t="s">
        <v>1862</v>
      </c>
      <c r="E1041" s="10" t="s">
        <v>20</v>
      </c>
      <c r="F1041" s="78" t="s">
        <v>55</v>
      </c>
      <c r="G1041" s="49" t="s">
        <v>1831</v>
      </c>
      <c r="I1041" s="13" t="str">
        <f>IFERROR(__xludf.DUMMYFUNCTION("if(isblank(A1041),,split(A1041,""ー""))"),"39-3")</f>
        <v>39-3</v>
      </c>
      <c r="K1041" s="13" t="str">
        <f>IFERROR(__xludf.DUMMYFUNCTION("if(isblank(B1041),,split(B1041,""ー""))"),"39-5")</f>
        <v>39-5</v>
      </c>
    </row>
    <row r="1042">
      <c r="A1042" s="69" t="s">
        <v>1828</v>
      </c>
      <c r="B1042" s="71" t="s">
        <v>1863</v>
      </c>
      <c r="C1042" s="77"/>
      <c r="D1042" s="65" t="s">
        <v>39</v>
      </c>
      <c r="E1042" s="10" t="s">
        <v>20</v>
      </c>
      <c r="F1042" s="78" t="s">
        <v>55</v>
      </c>
      <c r="G1042" s="49" t="s">
        <v>1831</v>
      </c>
      <c r="I1042" s="13" t="str">
        <f>IFERROR(__xludf.DUMMYFUNCTION("if(isblank(A1042),,split(A1042,""ー""))"),"39-3")</f>
        <v>39-3</v>
      </c>
      <c r="K1042" s="13" t="str">
        <f>IFERROR(__xludf.DUMMYFUNCTION("if(isblank(B1042),,split(B1042,""ー""))"),"39-6")</f>
        <v>39-6</v>
      </c>
    </row>
    <row r="1043">
      <c r="A1043" s="69" t="s">
        <v>1828</v>
      </c>
      <c r="B1043" s="71" t="s">
        <v>1864</v>
      </c>
      <c r="C1043" s="77">
        <v>43883.0</v>
      </c>
      <c r="D1043" s="65" t="s">
        <v>1865</v>
      </c>
      <c r="E1043" s="10" t="s">
        <v>20</v>
      </c>
      <c r="F1043" s="78" t="s">
        <v>55</v>
      </c>
      <c r="G1043" s="49" t="s">
        <v>1866</v>
      </c>
      <c r="I1043" s="13" t="str">
        <f>IFERROR(__xludf.DUMMYFUNCTION("if(isblank(A1043),,split(A1043,""ー""))"),"39-3")</f>
        <v>39-3</v>
      </c>
      <c r="K1043" s="13" t="str">
        <f>IFERROR(__xludf.DUMMYFUNCTION("if(isblank(B1043),,split(B1043,""ー""))"),"39-7")</f>
        <v>39-7</v>
      </c>
    </row>
    <row r="1044">
      <c r="A1044" s="15" t="s">
        <v>1857</v>
      </c>
      <c r="B1044" s="16" t="s">
        <v>1867</v>
      </c>
      <c r="C1044" s="13"/>
      <c r="D1044" s="6" t="s">
        <v>1868</v>
      </c>
      <c r="E1044" s="17" t="s">
        <v>20</v>
      </c>
      <c r="F1044" s="124" t="s">
        <v>36</v>
      </c>
      <c r="G1044" s="49" t="s">
        <v>1869</v>
      </c>
      <c r="I1044" s="13" t="str">
        <f>IFERROR(__xludf.DUMMYFUNCTION("if(isblank(A1044),,split(A1044,""ー""))"),"39-30")</f>
        <v>39-30</v>
      </c>
      <c r="K1044" s="13" t="str">
        <f>IFERROR(__xludf.DUMMYFUNCTION("if(isblank(B1044),,split(B1044,""ー""))"),"39-35")</f>
        <v>39-35</v>
      </c>
    </row>
    <row r="1045">
      <c r="A1045" s="15" t="s">
        <v>1870</v>
      </c>
      <c r="B1045" s="16" t="s">
        <v>1871</v>
      </c>
      <c r="C1045" s="13"/>
      <c r="D1045" s="6" t="s">
        <v>931</v>
      </c>
      <c r="E1045" s="17" t="s">
        <v>20</v>
      </c>
      <c r="F1045" s="29" t="s">
        <v>55</v>
      </c>
      <c r="G1045" s="49" t="s">
        <v>1869</v>
      </c>
      <c r="I1045" s="13" t="str">
        <f>IFERROR(__xludf.DUMMYFUNCTION("if(isblank(A1045),,split(A1045,""ー""))"),"39-33")</f>
        <v>39-33</v>
      </c>
      <c r="K1045" s="13" t="str">
        <f>IFERROR(__xludf.DUMMYFUNCTION("if(isblank(B1045),,split(B1045,""ー""))"),"39-36")</f>
        <v>39-36</v>
      </c>
    </row>
    <row r="1046">
      <c r="A1046" s="69" t="s">
        <v>1872</v>
      </c>
      <c r="B1046" s="71" t="s">
        <v>1873</v>
      </c>
      <c r="C1046" s="77"/>
      <c r="D1046" s="65" t="s">
        <v>308</v>
      </c>
      <c r="E1046" s="10" t="s">
        <v>20</v>
      </c>
      <c r="F1046" s="78" t="s">
        <v>1874</v>
      </c>
      <c r="G1046" s="49" t="s">
        <v>1875</v>
      </c>
      <c r="I1046" s="13" t="str">
        <f>IFERROR(__xludf.DUMMYFUNCTION("if(isblank(A1046),,split(A1046,""ー""))"),"39-8")</f>
        <v>39-8</v>
      </c>
      <c r="K1046" s="13" t="str">
        <f>IFERROR(__xludf.DUMMYFUNCTION("if(isblank(B1046),,split(B1046,""ー""))"),"39-10")</f>
        <v>39-10</v>
      </c>
    </row>
    <row r="1047">
      <c r="A1047" s="15" t="s">
        <v>1876</v>
      </c>
      <c r="B1047" s="16" t="s">
        <v>1877</v>
      </c>
      <c r="C1047" s="9"/>
      <c r="D1047" s="10" t="s">
        <v>360</v>
      </c>
      <c r="E1047" s="10" t="s">
        <v>1878</v>
      </c>
      <c r="F1047" s="11" t="s">
        <v>1879</v>
      </c>
      <c r="G1047" s="12" t="s">
        <v>1880</v>
      </c>
      <c r="I1047" s="13" t="str">
        <f>IFERROR(__xludf.DUMMYFUNCTION("if(isblank(A1047),,split(A1047,""ー""))"),"40-1")</f>
        <v>40-1</v>
      </c>
      <c r="K1047" s="13" t="str">
        <f>IFERROR(__xludf.DUMMYFUNCTION("if(isblank(B1047),,split(B1047,""ー""))"),"40-2")</f>
        <v>40-2</v>
      </c>
    </row>
    <row r="1048">
      <c r="A1048" s="15" t="s">
        <v>1881</v>
      </c>
      <c r="B1048" s="16" t="s">
        <v>1882</v>
      </c>
      <c r="C1048" s="9"/>
      <c r="D1048" s="10" t="s">
        <v>44</v>
      </c>
      <c r="E1048" s="10" t="s">
        <v>1878</v>
      </c>
      <c r="F1048" s="11" t="s">
        <v>1883</v>
      </c>
      <c r="G1048" s="12" t="s">
        <v>1884</v>
      </c>
      <c r="I1048" s="13" t="str">
        <f>IFERROR(__xludf.DUMMYFUNCTION("if(isblank(A1048),,split(A1048,""ー""))"),"40-104")</f>
        <v>40-104</v>
      </c>
      <c r="K1048" s="13" t="str">
        <f>IFERROR(__xludf.DUMMYFUNCTION("if(isblank(B1048),,split(B1048,""ー""))"),"40-134")</f>
        <v>40-134</v>
      </c>
    </row>
    <row r="1049">
      <c r="A1049" s="15" t="s">
        <v>1881</v>
      </c>
      <c r="B1049" s="16" t="s">
        <v>1885</v>
      </c>
      <c r="C1049" s="9"/>
      <c r="D1049" s="10" t="s">
        <v>1200</v>
      </c>
      <c r="E1049" s="10" t="s">
        <v>1878</v>
      </c>
      <c r="F1049" s="11" t="s">
        <v>1883</v>
      </c>
      <c r="G1049" s="12" t="s">
        <v>1884</v>
      </c>
      <c r="I1049" s="13" t="str">
        <f>IFERROR(__xludf.DUMMYFUNCTION("if(isblank(A1049),,split(A1049,""ー""))"),"40-104")</f>
        <v>40-104</v>
      </c>
      <c r="K1049" s="13" t="str">
        <f>IFERROR(__xludf.DUMMYFUNCTION("if(isblank(B1049),,split(B1049,""ー""))"),"40-135")</f>
        <v>40-135</v>
      </c>
    </row>
    <row r="1050">
      <c r="A1050" s="15" t="s">
        <v>1886</v>
      </c>
      <c r="B1050" s="16" t="s">
        <v>1887</v>
      </c>
      <c r="C1050" s="9"/>
      <c r="D1050" s="10" t="s">
        <v>44</v>
      </c>
      <c r="E1050" s="10" t="s">
        <v>1878</v>
      </c>
      <c r="F1050" s="11" t="s">
        <v>1888</v>
      </c>
      <c r="G1050" s="12" t="s">
        <v>1884</v>
      </c>
      <c r="I1050" s="13" t="str">
        <f>IFERROR(__xludf.DUMMYFUNCTION("if(isblank(A1050),,split(A1050,""ー""))"),"40-108")</f>
        <v>40-108</v>
      </c>
      <c r="K1050" s="13" t="str">
        <f>IFERROR(__xludf.DUMMYFUNCTION("if(isblank(B1050),,split(B1050,""ー""))"),"40-128")</f>
        <v>40-128</v>
      </c>
    </row>
    <row r="1051">
      <c r="A1051" s="15" t="s">
        <v>1886</v>
      </c>
      <c r="B1051" s="16" t="s">
        <v>1889</v>
      </c>
      <c r="C1051" s="9"/>
      <c r="D1051" s="10" t="s">
        <v>1200</v>
      </c>
      <c r="E1051" s="10" t="s">
        <v>1878</v>
      </c>
      <c r="F1051" s="11" t="s">
        <v>1888</v>
      </c>
      <c r="G1051" s="12" t="s">
        <v>1884</v>
      </c>
      <c r="I1051" s="13" t="str">
        <f>IFERROR(__xludf.DUMMYFUNCTION("if(isblank(A1051),,split(A1051,""ー""))"),"40-108")</f>
        <v>40-108</v>
      </c>
      <c r="K1051" s="13" t="str">
        <f>IFERROR(__xludf.DUMMYFUNCTION("if(isblank(B1051),,split(B1051,""ー""))"),"40-129")</f>
        <v>40-129</v>
      </c>
    </row>
    <row r="1052">
      <c r="A1052" s="15" t="s">
        <v>1886</v>
      </c>
      <c r="B1052" s="16" t="s">
        <v>1890</v>
      </c>
      <c r="C1052" s="9"/>
      <c r="D1052" s="10" t="s">
        <v>1200</v>
      </c>
      <c r="E1052" s="10" t="s">
        <v>1878</v>
      </c>
      <c r="F1052" s="11" t="s">
        <v>1888</v>
      </c>
      <c r="G1052" s="12" t="s">
        <v>1884</v>
      </c>
      <c r="I1052" s="13" t="str">
        <f>IFERROR(__xludf.DUMMYFUNCTION("if(isblank(A1052),,split(A1052,""ー""))"),"40-108")</f>
        <v>40-108</v>
      </c>
      <c r="K1052" s="13" t="str">
        <f>IFERROR(__xludf.DUMMYFUNCTION("if(isblank(B1052),,split(B1052,""ー""))"),"40-130")</f>
        <v>40-130</v>
      </c>
    </row>
    <row r="1053">
      <c r="A1053" s="15" t="s">
        <v>1886</v>
      </c>
      <c r="B1053" s="16" t="s">
        <v>1891</v>
      </c>
      <c r="C1053" s="13"/>
      <c r="D1053" s="6" t="s">
        <v>273</v>
      </c>
      <c r="E1053" s="10" t="s">
        <v>1878</v>
      </c>
      <c r="F1053" s="11" t="s">
        <v>36</v>
      </c>
      <c r="G1053" s="44" t="s">
        <v>1884</v>
      </c>
      <c r="I1053" s="13" t="str">
        <f>IFERROR(__xludf.DUMMYFUNCTION("if(isblank(A1053),,split(A1053,""ー""))"),"40-108")</f>
        <v>40-108</v>
      </c>
      <c r="K1053" s="13" t="str">
        <f>IFERROR(__xludf.DUMMYFUNCTION("if(isblank(B1053),,split(B1053,""ー""))"),"40-173")</f>
        <v>40-173</v>
      </c>
    </row>
    <row r="1054">
      <c r="A1054" s="15" t="s">
        <v>1892</v>
      </c>
      <c r="B1054" s="16" t="s">
        <v>1893</v>
      </c>
      <c r="C1054" s="9"/>
      <c r="D1054" s="10" t="s">
        <v>308</v>
      </c>
      <c r="E1054" s="10" t="s">
        <v>1878</v>
      </c>
      <c r="F1054" s="11" t="s">
        <v>1894</v>
      </c>
      <c r="G1054" s="12" t="s">
        <v>1884</v>
      </c>
      <c r="I1054" s="13" t="str">
        <f>IFERROR(__xludf.DUMMYFUNCTION("if(isblank(A1054),,split(A1054,""ー""))"),"40-11")</f>
        <v>40-11</v>
      </c>
      <c r="K1054" s="13" t="str">
        <f>IFERROR(__xludf.DUMMYFUNCTION("if(isblank(B1054),,split(B1054,""ー""))"),"40-16")</f>
        <v>40-16</v>
      </c>
    </row>
    <row r="1055">
      <c r="A1055" s="15" t="s">
        <v>1895</v>
      </c>
      <c r="B1055" s="16" t="s">
        <v>1896</v>
      </c>
      <c r="C1055" s="13"/>
      <c r="D1055" s="6" t="s">
        <v>1897</v>
      </c>
      <c r="E1055" s="10" t="s">
        <v>1878</v>
      </c>
      <c r="F1055" s="11" t="s">
        <v>36</v>
      </c>
      <c r="G1055" s="44" t="s">
        <v>1884</v>
      </c>
      <c r="I1055" s="13" t="str">
        <f>IFERROR(__xludf.DUMMYFUNCTION("if(isblank(A1055),,split(A1055,""ー""))"),"40-110")</f>
        <v>40-110</v>
      </c>
      <c r="K1055" s="13" t="str">
        <f>IFERROR(__xludf.DUMMYFUNCTION("if(isblank(B1055),,split(B1055,""ー""))"),"40-172")</f>
        <v>40-172</v>
      </c>
    </row>
    <row r="1056">
      <c r="A1056" s="15" t="s">
        <v>1898</v>
      </c>
      <c r="B1056" s="16" t="s">
        <v>1899</v>
      </c>
      <c r="C1056" s="9"/>
      <c r="D1056" s="10" t="s">
        <v>1900</v>
      </c>
      <c r="E1056" s="10" t="s">
        <v>1878</v>
      </c>
      <c r="F1056" s="11" t="s">
        <v>1901</v>
      </c>
      <c r="G1056" s="11" t="s">
        <v>1902</v>
      </c>
      <c r="I1056" s="13" t="str">
        <f>IFERROR(__xludf.DUMMYFUNCTION("if(isblank(A1056),,split(A1056,""ー""))"),"40-112")</f>
        <v>40-112</v>
      </c>
      <c r="K1056" s="13" t="str">
        <f>IFERROR(__xludf.DUMMYFUNCTION("if(isblank(B1056),,split(B1056,""ー""))"),"40-133")</f>
        <v>40-133</v>
      </c>
    </row>
    <row r="1057">
      <c r="A1057" s="15" t="s">
        <v>1898</v>
      </c>
      <c r="B1057" s="16" t="s">
        <v>1903</v>
      </c>
      <c r="C1057" s="9"/>
      <c r="D1057" s="10" t="s">
        <v>1904</v>
      </c>
      <c r="E1057" s="10" t="s">
        <v>1878</v>
      </c>
      <c r="F1057" s="11" t="s">
        <v>1901</v>
      </c>
      <c r="G1057" s="12" t="s">
        <v>1884</v>
      </c>
      <c r="I1057" s="13" t="str">
        <f>IFERROR(__xludf.DUMMYFUNCTION("if(isblank(A1057),,split(A1057,""ー""))"),"40-112")</f>
        <v>40-112</v>
      </c>
      <c r="K1057" s="13" t="str">
        <f>IFERROR(__xludf.DUMMYFUNCTION("if(isblank(B1057),,split(B1057,""ー""))"),"40-137")</f>
        <v>40-137</v>
      </c>
    </row>
    <row r="1058">
      <c r="A1058" s="15" t="s">
        <v>1898</v>
      </c>
      <c r="B1058" s="16" t="s">
        <v>1905</v>
      </c>
      <c r="C1058" s="9"/>
      <c r="D1058" s="10" t="s">
        <v>1904</v>
      </c>
      <c r="E1058" s="10" t="s">
        <v>1878</v>
      </c>
      <c r="F1058" s="11" t="s">
        <v>1901</v>
      </c>
      <c r="G1058" s="11" t="s">
        <v>1906</v>
      </c>
      <c r="I1058" s="13" t="str">
        <f>IFERROR(__xludf.DUMMYFUNCTION("if(isblank(A1058),,split(A1058,""ー""))"),"40-112")</f>
        <v>40-112</v>
      </c>
      <c r="K1058" s="13" t="str">
        <f>IFERROR(__xludf.DUMMYFUNCTION("if(isblank(B1058),,split(B1058,""ー""))"),"40-138")</f>
        <v>40-138</v>
      </c>
    </row>
    <row r="1059">
      <c r="A1059" s="15" t="s">
        <v>1898</v>
      </c>
      <c r="B1059" s="16" t="s">
        <v>1907</v>
      </c>
      <c r="C1059" s="9"/>
      <c r="D1059" s="10" t="s">
        <v>1904</v>
      </c>
      <c r="E1059" s="10" t="s">
        <v>1878</v>
      </c>
      <c r="F1059" s="11" t="s">
        <v>1901</v>
      </c>
      <c r="G1059" s="11" t="s">
        <v>1908</v>
      </c>
      <c r="I1059" s="13" t="str">
        <f>IFERROR(__xludf.DUMMYFUNCTION("if(isblank(A1059),,split(A1059,""ー""))"),"40-112")</f>
        <v>40-112</v>
      </c>
      <c r="K1059" s="13" t="str">
        <f>IFERROR(__xludf.DUMMYFUNCTION("if(isblank(B1059),,split(B1059,""ー""))"),"40-139")</f>
        <v>40-139</v>
      </c>
    </row>
    <row r="1060">
      <c r="A1060" s="15" t="s">
        <v>1898</v>
      </c>
      <c r="B1060" s="16" t="s">
        <v>1909</v>
      </c>
      <c r="C1060" s="9"/>
      <c r="D1060" s="10" t="s">
        <v>1904</v>
      </c>
      <c r="E1060" s="10" t="s">
        <v>1878</v>
      </c>
      <c r="F1060" s="11" t="s">
        <v>1901</v>
      </c>
      <c r="G1060" s="11" t="s">
        <v>1910</v>
      </c>
      <c r="I1060" s="13" t="str">
        <f>IFERROR(__xludf.DUMMYFUNCTION("if(isblank(A1060),,split(A1060,""ー""))"),"40-112")</f>
        <v>40-112</v>
      </c>
      <c r="K1060" s="13" t="str">
        <f>IFERROR(__xludf.DUMMYFUNCTION("if(isblank(B1060),,split(B1060,""ー""))"),"40-140")</f>
        <v>40-140</v>
      </c>
    </row>
    <row r="1061">
      <c r="A1061" s="15" t="s">
        <v>1898</v>
      </c>
      <c r="B1061" s="16" t="s">
        <v>1911</v>
      </c>
      <c r="C1061" s="9"/>
      <c r="D1061" s="10" t="s">
        <v>1904</v>
      </c>
      <c r="E1061" s="10" t="s">
        <v>1878</v>
      </c>
      <c r="F1061" s="11" t="s">
        <v>1901</v>
      </c>
      <c r="G1061" s="11" t="s">
        <v>1912</v>
      </c>
      <c r="I1061" s="13" t="str">
        <f>IFERROR(__xludf.DUMMYFUNCTION("if(isblank(A1061),,split(A1061,""ー""))"),"40-112")</f>
        <v>40-112</v>
      </c>
      <c r="K1061" s="13" t="str">
        <f>IFERROR(__xludf.DUMMYFUNCTION("if(isblank(B1061),,split(B1061,""ー""))"),"40-141")</f>
        <v>40-141</v>
      </c>
    </row>
    <row r="1062">
      <c r="A1062" s="15" t="s">
        <v>1898</v>
      </c>
      <c r="B1062" s="16" t="s">
        <v>1913</v>
      </c>
      <c r="C1062" s="9"/>
      <c r="D1062" s="10" t="s">
        <v>1904</v>
      </c>
      <c r="E1062" s="10" t="s">
        <v>1878</v>
      </c>
      <c r="F1062" s="11" t="s">
        <v>1901</v>
      </c>
      <c r="G1062" s="11" t="s">
        <v>1914</v>
      </c>
      <c r="I1062" s="13" t="str">
        <f>IFERROR(__xludf.DUMMYFUNCTION("if(isblank(A1062),,split(A1062,""ー""))"),"40-112")</f>
        <v>40-112</v>
      </c>
      <c r="K1062" s="13" t="str">
        <f>IFERROR(__xludf.DUMMYFUNCTION("if(isblank(B1062),,split(B1062,""ー""))"),"40-142")</f>
        <v>40-142</v>
      </c>
    </row>
    <row r="1063">
      <c r="A1063" s="15" t="s">
        <v>1898</v>
      </c>
      <c r="B1063" s="16" t="s">
        <v>1915</v>
      </c>
      <c r="C1063" s="9"/>
      <c r="D1063" s="10" t="s">
        <v>1904</v>
      </c>
      <c r="E1063" s="10" t="s">
        <v>1878</v>
      </c>
      <c r="F1063" s="11" t="s">
        <v>1901</v>
      </c>
      <c r="G1063" s="11" t="s">
        <v>1916</v>
      </c>
      <c r="I1063" s="13" t="str">
        <f>IFERROR(__xludf.DUMMYFUNCTION("if(isblank(A1063),,split(A1063,""ー""))"),"40-112")</f>
        <v>40-112</v>
      </c>
      <c r="K1063" s="13" t="str">
        <f>IFERROR(__xludf.DUMMYFUNCTION("if(isblank(B1063),,split(B1063,""ー""))"),"40-143")</f>
        <v>40-143</v>
      </c>
    </row>
    <row r="1064">
      <c r="A1064" s="15" t="s">
        <v>1898</v>
      </c>
      <c r="B1064" s="16" t="s">
        <v>1917</v>
      </c>
      <c r="C1064" s="9"/>
      <c r="D1064" s="10" t="s">
        <v>1904</v>
      </c>
      <c r="E1064" s="10" t="s">
        <v>1878</v>
      </c>
      <c r="F1064" s="11" t="s">
        <v>1901</v>
      </c>
      <c r="G1064" s="11" t="s">
        <v>1918</v>
      </c>
      <c r="I1064" s="13" t="str">
        <f>IFERROR(__xludf.DUMMYFUNCTION("if(isblank(A1064),,split(A1064,""ー""))"),"40-112")</f>
        <v>40-112</v>
      </c>
      <c r="K1064" s="13" t="str">
        <f>IFERROR(__xludf.DUMMYFUNCTION("if(isblank(B1064),,split(B1064,""ー""))"),"40-144")</f>
        <v>40-144</v>
      </c>
    </row>
    <row r="1065">
      <c r="A1065" s="15" t="s">
        <v>1898</v>
      </c>
      <c r="B1065" s="16" t="s">
        <v>1919</v>
      </c>
      <c r="C1065" s="9"/>
      <c r="D1065" s="10" t="s">
        <v>1900</v>
      </c>
      <c r="E1065" s="10" t="s">
        <v>1878</v>
      </c>
      <c r="F1065" s="11" t="s">
        <v>1901</v>
      </c>
      <c r="G1065" s="11" t="s">
        <v>1920</v>
      </c>
      <c r="I1065" s="13" t="str">
        <f>IFERROR(__xludf.DUMMYFUNCTION("if(isblank(A1065),,split(A1065,""ー""))"),"40-112")</f>
        <v>40-112</v>
      </c>
      <c r="K1065" s="13" t="str">
        <f>IFERROR(__xludf.DUMMYFUNCTION("if(isblank(B1065),,split(B1065,""ー""))"),"40-145")</f>
        <v>40-145</v>
      </c>
    </row>
    <row r="1066">
      <c r="A1066" s="15" t="s">
        <v>1898</v>
      </c>
      <c r="B1066" s="16" t="s">
        <v>1921</v>
      </c>
      <c r="C1066" s="9">
        <v>43920.0</v>
      </c>
      <c r="D1066" s="10" t="s">
        <v>36</v>
      </c>
      <c r="E1066" s="10" t="s">
        <v>1878</v>
      </c>
      <c r="F1066" s="11" t="s">
        <v>36</v>
      </c>
      <c r="G1066" s="44" t="s">
        <v>1884</v>
      </c>
      <c r="I1066" s="13" t="str">
        <f>IFERROR(__xludf.DUMMYFUNCTION("if(isblank(A1066),,split(A1066,""ー""))"),"40-112")</f>
        <v>40-112</v>
      </c>
      <c r="K1066" s="13" t="str">
        <f>IFERROR(__xludf.DUMMYFUNCTION("if(isblank(B1066),,split(B1066,""ー""))"),"40-150")</f>
        <v>40-150</v>
      </c>
    </row>
    <row r="1067">
      <c r="A1067" s="15" t="s">
        <v>1898</v>
      </c>
      <c r="B1067" s="16" t="s">
        <v>1922</v>
      </c>
      <c r="C1067" s="9"/>
      <c r="D1067" s="10" t="s">
        <v>1900</v>
      </c>
      <c r="E1067" s="10" t="s">
        <v>1878</v>
      </c>
      <c r="F1067" s="11" t="s">
        <v>1901</v>
      </c>
      <c r="G1067" s="44" t="s">
        <v>1884</v>
      </c>
      <c r="I1067" s="13" t="str">
        <f>IFERROR(__xludf.DUMMYFUNCTION("if(isblank(A1067),,split(A1067,""ー""))"),"40-112")</f>
        <v>40-112</v>
      </c>
      <c r="K1067" s="13" t="str">
        <f>IFERROR(__xludf.DUMMYFUNCTION("if(isblank(B1067),,split(B1067,""ー""))"),"40-151")</f>
        <v>40-151</v>
      </c>
    </row>
    <row r="1068">
      <c r="A1068" s="15" t="s">
        <v>1898</v>
      </c>
      <c r="B1068" s="16" t="s">
        <v>1923</v>
      </c>
      <c r="C1068" s="13"/>
      <c r="D1068" s="10" t="s">
        <v>1900</v>
      </c>
      <c r="E1068" s="10" t="s">
        <v>1878</v>
      </c>
      <c r="F1068" s="11" t="s">
        <v>1901</v>
      </c>
      <c r="G1068" s="44" t="s">
        <v>1884</v>
      </c>
      <c r="I1068" s="13" t="str">
        <f>IFERROR(__xludf.DUMMYFUNCTION("if(isblank(A1068),,split(A1068,""ー""))"),"40-112")</f>
        <v>40-112</v>
      </c>
      <c r="K1068" s="13" t="str">
        <f>IFERROR(__xludf.DUMMYFUNCTION("if(isblank(B1068),,split(B1068,""ー""))"),"40-176")</f>
        <v>40-176</v>
      </c>
    </row>
    <row r="1069">
      <c r="A1069" s="15" t="s">
        <v>1924</v>
      </c>
      <c r="B1069" s="16" t="s">
        <v>1925</v>
      </c>
      <c r="C1069" s="9"/>
      <c r="D1069" s="10" t="s">
        <v>44</v>
      </c>
      <c r="E1069" s="10" t="s">
        <v>1878</v>
      </c>
      <c r="F1069" s="11" t="s">
        <v>1888</v>
      </c>
      <c r="G1069" s="12" t="s">
        <v>1884</v>
      </c>
      <c r="I1069" s="13" t="str">
        <f>IFERROR(__xludf.DUMMYFUNCTION("if(isblank(A1069),,split(A1069,""ー""))"),"40-113")</f>
        <v>40-113</v>
      </c>
      <c r="K1069" s="13" t="str">
        <f>IFERROR(__xludf.DUMMYFUNCTION("if(isblank(B1069),,split(B1069,""ー""))"),"40-114")</f>
        <v>40-114</v>
      </c>
    </row>
    <row r="1070">
      <c r="A1070" s="15" t="s">
        <v>1924</v>
      </c>
      <c r="B1070" s="16" t="s">
        <v>1926</v>
      </c>
      <c r="C1070" s="9"/>
      <c r="D1070" s="10" t="s">
        <v>1200</v>
      </c>
      <c r="E1070" s="10" t="s">
        <v>1878</v>
      </c>
      <c r="F1070" s="11" t="s">
        <v>1888</v>
      </c>
      <c r="G1070" s="12" t="s">
        <v>1884</v>
      </c>
      <c r="I1070" s="13" t="str">
        <f>IFERROR(__xludf.DUMMYFUNCTION("if(isblank(A1070),,split(A1070,""ー""))"),"40-113")</f>
        <v>40-113</v>
      </c>
      <c r="K1070" s="13" t="str">
        <f>IFERROR(__xludf.DUMMYFUNCTION("if(isblank(B1070),,split(B1070,""ー""))"),"40-127")</f>
        <v>40-127</v>
      </c>
    </row>
    <row r="1071">
      <c r="A1071" s="15" t="s">
        <v>1924</v>
      </c>
      <c r="B1071" s="16" t="s">
        <v>1927</v>
      </c>
      <c r="C1071" s="9"/>
      <c r="D1071" s="10" t="s">
        <v>36</v>
      </c>
      <c r="E1071" s="10" t="s">
        <v>1878</v>
      </c>
      <c r="F1071" s="11" t="s">
        <v>36</v>
      </c>
      <c r="G1071" s="12" t="s">
        <v>1884</v>
      </c>
      <c r="I1071" s="13" t="str">
        <f>IFERROR(__xludf.DUMMYFUNCTION("if(isblank(A1071),,split(A1071,""ー""))"),"40-113")</f>
        <v>40-113</v>
      </c>
      <c r="K1071" s="13" t="str">
        <f>IFERROR(__xludf.DUMMYFUNCTION("if(isblank(B1071),,split(B1071,""ー""))"),"40-181")</f>
        <v>40-181</v>
      </c>
    </row>
    <row r="1072">
      <c r="A1072" s="15" t="s">
        <v>1925</v>
      </c>
      <c r="B1072" s="16" t="s">
        <v>1926</v>
      </c>
      <c r="C1072" s="9"/>
      <c r="D1072" s="10" t="s">
        <v>1200</v>
      </c>
      <c r="E1072" s="10" t="s">
        <v>1878</v>
      </c>
      <c r="F1072" s="11" t="s">
        <v>1888</v>
      </c>
      <c r="G1072" s="12" t="s">
        <v>1884</v>
      </c>
      <c r="I1072" s="13" t="str">
        <f>IFERROR(__xludf.DUMMYFUNCTION("if(isblank(A1072),,split(A1072,""ー""))"),"40-114")</f>
        <v>40-114</v>
      </c>
      <c r="K1072" s="13" t="str">
        <f>IFERROR(__xludf.DUMMYFUNCTION("if(isblank(B1072),,split(B1072,""ー""))"),"40-127")</f>
        <v>40-127</v>
      </c>
    </row>
    <row r="1073">
      <c r="A1073" s="15" t="s">
        <v>1928</v>
      </c>
      <c r="B1073" s="16" t="s">
        <v>1929</v>
      </c>
      <c r="C1073" s="13"/>
      <c r="D1073" s="6" t="s">
        <v>1930</v>
      </c>
      <c r="E1073" s="10" t="s">
        <v>1878</v>
      </c>
      <c r="F1073" s="11" t="s">
        <v>1931</v>
      </c>
      <c r="G1073" s="44" t="s">
        <v>1884</v>
      </c>
      <c r="I1073" s="13" t="str">
        <f>IFERROR(__xludf.DUMMYFUNCTION("if(isblank(A1073),,split(A1073,""ー""))"),"40-119")</f>
        <v>40-119</v>
      </c>
      <c r="K1073" s="13" t="str">
        <f>IFERROR(__xludf.DUMMYFUNCTION("if(isblank(B1073),,split(B1073,""ー""))"),"40-175")</f>
        <v>40-175</v>
      </c>
    </row>
    <row r="1074">
      <c r="A1074" s="15" t="s">
        <v>1932</v>
      </c>
      <c r="B1074" s="16" t="s">
        <v>1933</v>
      </c>
      <c r="C1074" s="9"/>
      <c r="D1074" s="10" t="s">
        <v>1200</v>
      </c>
      <c r="E1074" s="10" t="s">
        <v>1878</v>
      </c>
      <c r="F1074" s="11" t="s">
        <v>1888</v>
      </c>
      <c r="G1074" s="12" t="s">
        <v>1884</v>
      </c>
      <c r="I1074" s="13" t="str">
        <f>IFERROR(__xludf.DUMMYFUNCTION("if(isblank(A1074),,split(A1074,""ー""))"),"40-121")</f>
        <v>40-121</v>
      </c>
      <c r="K1074" s="13" t="str">
        <f>IFERROR(__xludf.DUMMYFUNCTION("if(isblank(B1074),,split(B1074,""ー""))"),"40-122")</f>
        <v>40-122</v>
      </c>
    </row>
    <row r="1075">
      <c r="A1075" s="15" t="s">
        <v>1932</v>
      </c>
      <c r="B1075" s="16" t="s">
        <v>1934</v>
      </c>
      <c r="C1075" s="13"/>
      <c r="D1075" s="6" t="s">
        <v>1200</v>
      </c>
      <c r="E1075" s="10" t="s">
        <v>1878</v>
      </c>
      <c r="F1075" s="11" t="s">
        <v>1888</v>
      </c>
      <c r="G1075" s="44" t="s">
        <v>1884</v>
      </c>
      <c r="I1075" s="13" t="str">
        <f>IFERROR(__xludf.DUMMYFUNCTION("if(isblank(A1075),,split(A1075,""ー""))"),"40-121")</f>
        <v>40-121</v>
      </c>
      <c r="K1075" s="13" t="str">
        <f>IFERROR(__xludf.DUMMYFUNCTION("if(isblank(B1075),,split(B1075,""ー""))"),"40-168")</f>
        <v>40-168</v>
      </c>
    </row>
    <row r="1076">
      <c r="A1076" s="15" t="s">
        <v>1933</v>
      </c>
      <c r="B1076" s="16" t="s">
        <v>1934</v>
      </c>
      <c r="C1076" s="13"/>
      <c r="D1076" s="6" t="s">
        <v>44</v>
      </c>
      <c r="E1076" s="10" t="s">
        <v>1878</v>
      </c>
      <c r="F1076" s="11" t="s">
        <v>1888</v>
      </c>
      <c r="G1076" s="44" t="s">
        <v>1884</v>
      </c>
      <c r="I1076" s="13" t="str">
        <f>IFERROR(__xludf.DUMMYFUNCTION("if(isblank(A1076),,split(A1076,""ー""))"),"40-122")</f>
        <v>40-122</v>
      </c>
      <c r="K1076" s="13" t="str">
        <f>IFERROR(__xludf.DUMMYFUNCTION("if(isblank(B1076),,split(B1076,""ー""))"),"40-168")</f>
        <v>40-168</v>
      </c>
    </row>
    <row r="1077">
      <c r="A1077" s="15" t="s">
        <v>1935</v>
      </c>
      <c r="B1077" s="16" t="s">
        <v>1936</v>
      </c>
      <c r="C1077" s="9">
        <v>43913.0</v>
      </c>
      <c r="D1077" s="10" t="s">
        <v>36</v>
      </c>
      <c r="E1077" s="10" t="s">
        <v>1878</v>
      </c>
      <c r="F1077" s="11" t="s">
        <v>1937</v>
      </c>
      <c r="G1077" s="44" t="s">
        <v>1884</v>
      </c>
      <c r="I1077" s="13" t="str">
        <f>IFERROR(__xludf.DUMMYFUNCTION("if(isblank(A1077),,split(A1077,""ー""))"),"40-126")</f>
        <v>40-126</v>
      </c>
      <c r="K1077" s="13" t="str">
        <f>IFERROR(__xludf.DUMMYFUNCTION("if(isblank(B1077),,split(B1077,""ー""))"),"40-158")</f>
        <v>40-158</v>
      </c>
    </row>
    <row r="1078">
      <c r="A1078" s="15" t="s">
        <v>1887</v>
      </c>
      <c r="B1078" s="16" t="s">
        <v>1889</v>
      </c>
      <c r="C1078" s="9"/>
      <c r="D1078" s="10" t="s">
        <v>1200</v>
      </c>
      <c r="E1078" s="10" t="s">
        <v>1878</v>
      </c>
      <c r="F1078" s="11" t="s">
        <v>1888</v>
      </c>
      <c r="G1078" s="12" t="s">
        <v>1884</v>
      </c>
      <c r="I1078" s="13" t="str">
        <f>IFERROR(__xludf.DUMMYFUNCTION("if(isblank(A1078),,split(A1078,""ー""))"),"40-128")</f>
        <v>40-128</v>
      </c>
      <c r="K1078" s="13" t="str">
        <f>IFERROR(__xludf.DUMMYFUNCTION("if(isblank(B1078),,split(B1078,""ー""))"),"40-129")</f>
        <v>40-129</v>
      </c>
    </row>
    <row r="1079">
      <c r="A1079" s="15" t="s">
        <v>1887</v>
      </c>
      <c r="B1079" s="16" t="s">
        <v>1890</v>
      </c>
      <c r="C1079" s="9"/>
      <c r="D1079" s="10" t="s">
        <v>1200</v>
      </c>
      <c r="E1079" s="10" t="s">
        <v>1878</v>
      </c>
      <c r="F1079" s="11" t="s">
        <v>1888</v>
      </c>
      <c r="G1079" s="12" t="s">
        <v>1884</v>
      </c>
      <c r="I1079" s="13" t="str">
        <f>IFERROR(__xludf.DUMMYFUNCTION("if(isblank(A1079),,split(A1079,""ー""))"),"40-128")</f>
        <v>40-128</v>
      </c>
      <c r="K1079" s="13" t="str">
        <f>IFERROR(__xludf.DUMMYFUNCTION("if(isblank(B1079),,split(B1079,""ー""))"),"40-130")</f>
        <v>40-130</v>
      </c>
    </row>
    <row r="1080">
      <c r="A1080" s="15" t="s">
        <v>1938</v>
      </c>
      <c r="B1080" s="16" t="s">
        <v>1939</v>
      </c>
      <c r="C1080" s="9"/>
      <c r="D1080" s="10" t="s">
        <v>308</v>
      </c>
      <c r="E1080" s="10" t="s">
        <v>1878</v>
      </c>
      <c r="F1080" s="11" t="s">
        <v>1940</v>
      </c>
      <c r="G1080" s="12" t="s">
        <v>1884</v>
      </c>
      <c r="I1080" s="13" t="str">
        <f>IFERROR(__xludf.DUMMYFUNCTION("if(isblank(A1080),,split(A1080,""ー""))"),"40-13")</f>
        <v>40-13</v>
      </c>
      <c r="K1080" s="13" t="str">
        <f>IFERROR(__xludf.DUMMYFUNCTION("if(isblank(B1080),,split(B1080,""ー""))"),"40-26")</f>
        <v>40-26</v>
      </c>
    </row>
    <row r="1081">
      <c r="A1081" s="15" t="s">
        <v>1882</v>
      </c>
      <c r="B1081" s="16" t="s">
        <v>1885</v>
      </c>
      <c r="C1081" s="9"/>
      <c r="D1081" s="10" t="s">
        <v>1200</v>
      </c>
      <c r="E1081" s="10" t="s">
        <v>1878</v>
      </c>
      <c r="F1081" s="11" t="s">
        <v>1883</v>
      </c>
      <c r="G1081" s="12" t="s">
        <v>1884</v>
      </c>
      <c r="I1081" s="13" t="str">
        <f>IFERROR(__xludf.DUMMYFUNCTION("if(isblank(A1081),,split(A1081,""ー""))"),"40-134")</f>
        <v>40-134</v>
      </c>
      <c r="K1081" s="13" t="str">
        <f>IFERROR(__xludf.DUMMYFUNCTION("if(isblank(B1081),,split(B1081,""ー""))"),"40-135")</f>
        <v>40-135</v>
      </c>
    </row>
    <row r="1082">
      <c r="A1082" s="15" t="s">
        <v>1941</v>
      </c>
      <c r="B1082" s="16" t="s">
        <v>1942</v>
      </c>
      <c r="C1082" s="13"/>
      <c r="D1082" s="6" t="s">
        <v>44</v>
      </c>
      <c r="E1082" s="10" t="s">
        <v>1878</v>
      </c>
      <c r="F1082" s="11" t="s">
        <v>1943</v>
      </c>
      <c r="G1082" s="44" t="s">
        <v>1884</v>
      </c>
      <c r="I1082" s="13" t="str">
        <f>IFERROR(__xludf.DUMMYFUNCTION("if(isblank(A1082),,split(A1082,""ー""))"),"40-136")</f>
        <v>40-136</v>
      </c>
      <c r="K1082" s="13" t="str">
        <f>IFERROR(__xludf.DUMMYFUNCTION("if(isblank(B1082),,split(B1082,""ー""))"),"40-169")</f>
        <v>40-169</v>
      </c>
    </row>
    <row r="1083">
      <c r="A1083" s="15" t="s">
        <v>1921</v>
      </c>
      <c r="B1083" s="16" t="s">
        <v>1944</v>
      </c>
      <c r="C1083" s="13"/>
      <c r="D1083" s="6" t="s">
        <v>36</v>
      </c>
      <c r="E1083" s="10" t="s">
        <v>1878</v>
      </c>
      <c r="F1083" s="11" t="s">
        <v>36</v>
      </c>
      <c r="G1083" s="44" t="s">
        <v>1884</v>
      </c>
      <c r="I1083" s="13" t="str">
        <f>IFERROR(__xludf.DUMMYFUNCTION("if(isblank(A1083),,split(A1083,""ー""))"),"40-150")</f>
        <v>40-150</v>
      </c>
      <c r="K1083" s="13" t="str">
        <f>IFERROR(__xludf.DUMMYFUNCTION("if(isblank(B1083),,split(B1083,""ー""))"),"40-170")</f>
        <v>40-170</v>
      </c>
    </row>
    <row r="1084">
      <c r="A1084" s="15" t="s">
        <v>1921</v>
      </c>
      <c r="B1084" s="16" t="s">
        <v>1945</v>
      </c>
      <c r="C1084" s="9"/>
      <c r="D1084" s="10" t="s">
        <v>1946</v>
      </c>
      <c r="E1084" s="10" t="s">
        <v>1878</v>
      </c>
      <c r="F1084" s="11" t="s">
        <v>36</v>
      </c>
      <c r="G1084" s="44" t="s">
        <v>1884</v>
      </c>
      <c r="I1084" s="13" t="str">
        <f>IFERROR(__xludf.DUMMYFUNCTION("if(isblank(A1084),,split(A1084,""ー""))"),"40-150")</f>
        <v>40-150</v>
      </c>
      <c r="K1084" s="13" t="str">
        <f>IFERROR(__xludf.DUMMYFUNCTION("if(isblank(B1084),,split(B1084,""ー""))"),"40-179")</f>
        <v>40-179</v>
      </c>
    </row>
    <row r="1085">
      <c r="A1085" s="15" t="s">
        <v>1947</v>
      </c>
      <c r="B1085" s="16" t="s">
        <v>1948</v>
      </c>
      <c r="C1085" s="9">
        <v>43910.0</v>
      </c>
      <c r="D1085" s="10" t="s">
        <v>36</v>
      </c>
      <c r="E1085" s="10" t="s">
        <v>1878</v>
      </c>
      <c r="F1085" s="11" t="s">
        <v>36</v>
      </c>
      <c r="G1085" s="44" t="s">
        <v>1884</v>
      </c>
      <c r="I1085" s="13" t="str">
        <f>IFERROR(__xludf.DUMMYFUNCTION("if(isblank(A1085),,split(A1085,""ー""))"),"40-152")</f>
        <v>40-152</v>
      </c>
      <c r="K1085" s="13" t="str">
        <f>IFERROR(__xludf.DUMMYFUNCTION("if(isblank(B1085),,split(B1085,""ー""))"),"40-35?")</f>
        <v>40-35?</v>
      </c>
    </row>
    <row r="1086">
      <c r="A1086" s="15" t="s">
        <v>1949</v>
      </c>
      <c r="B1086" s="16" t="s">
        <v>1950</v>
      </c>
      <c r="C1086" s="9"/>
      <c r="D1086" s="10" t="s">
        <v>1951</v>
      </c>
      <c r="E1086" s="10" t="s">
        <v>1878</v>
      </c>
      <c r="F1086" s="11" t="s">
        <v>1952</v>
      </c>
      <c r="G1086" s="44" t="s">
        <v>1884</v>
      </c>
      <c r="I1086" s="13" t="str">
        <f>IFERROR(__xludf.DUMMYFUNCTION("if(isblank(A1086),,split(A1086,""ー""))"),"40-159")</f>
        <v>40-159</v>
      </c>
      <c r="K1086" s="13" t="str">
        <f>IFERROR(__xludf.DUMMYFUNCTION("if(isblank(B1086),,split(B1086,""ー""))"),"40-89?")</f>
        <v>40-89?</v>
      </c>
    </row>
    <row r="1087">
      <c r="A1087" s="15" t="s">
        <v>1953</v>
      </c>
      <c r="B1087" s="16" t="s">
        <v>1950</v>
      </c>
      <c r="C1087" s="9"/>
      <c r="D1087" s="10" t="s">
        <v>1951</v>
      </c>
      <c r="E1087" s="10" t="s">
        <v>1878</v>
      </c>
      <c r="F1087" s="11" t="s">
        <v>1952</v>
      </c>
      <c r="G1087" s="44" t="s">
        <v>1884</v>
      </c>
      <c r="I1087" s="13" t="str">
        <f>IFERROR(__xludf.DUMMYFUNCTION("if(isblank(A1087),,split(A1087,""ー""))"),"40-160")</f>
        <v>40-160</v>
      </c>
      <c r="K1087" s="13" t="str">
        <f>IFERROR(__xludf.DUMMYFUNCTION("if(isblank(B1087),,split(B1087,""ー""))"),"40-89?")</f>
        <v>40-89?</v>
      </c>
    </row>
    <row r="1088">
      <c r="A1088" s="15" t="s">
        <v>1954</v>
      </c>
      <c r="B1088" s="16" t="s">
        <v>1950</v>
      </c>
      <c r="C1088" s="9"/>
      <c r="D1088" s="10" t="s">
        <v>1951</v>
      </c>
      <c r="E1088" s="10" t="s">
        <v>1878</v>
      </c>
      <c r="F1088" s="11" t="s">
        <v>1952</v>
      </c>
      <c r="G1088" s="44" t="s">
        <v>1884</v>
      </c>
      <c r="I1088" s="13" t="str">
        <f>IFERROR(__xludf.DUMMYFUNCTION("if(isblank(A1088),,split(A1088,""ー""))"),"40-161")</f>
        <v>40-161</v>
      </c>
      <c r="K1088" s="13" t="str">
        <f>IFERROR(__xludf.DUMMYFUNCTION("if(isblank(B1088),,split(B1088,""ー""))"),"40-89?")</f>
        <v>40-89?</v>
      </c>
    </row>
    <row r="1089">
      <c r="A1089" s="15" t="s">
        <v>1955</v>
      </c>
      <c r="B1089" s="16" t="s">
        <v>1950</v>
      </c>
      <c r="C1089" s="9"/>
      <c r="D1089" s="10" t="s">
        <v>1951</v>
      </c>
      <c r="E1089" s="10" t="s">
        <v>1878</v>
      </c>
      <c r="F1089" s="11" t="s">
        <v>1952</v>
      </c>
      <c r="G1089" s="44" t="s">
        <v>1884</v>
      </c>
      <c r="I1089" s="13" t="str">
        <f>IFERROR(__xludf.DUMMYFUNCTION("if(isblank(A1089),,split(A1089,""ー""))"),"40-162")</f>
        <v>40-162</v>
      </c>
      <c r="K1089" s="13" t="str">
        <f>IFERROR(__xludf.DUMMYFUNCTION("if(isblank(B1089),,split(B1089,""ー""))"),"40-89?")</f>
        <v>40-89?</v>
      </c>
    </row>
    <row r="1090">
      <c r="A1090" s="15" t="s">
        <v>1956</v>
      </c>
      <c r="B1090" s="16" t="s">
        <v>1957</v>
      </c>
      <c r="C1090" s="13"/>
      <c r="D1090" s="6" t="s">
        <v>165</v>
      </c>
      <c r="E1090" s="10" t="s">
        <v>1878</v>
      </c>
      <c r="F1090" s="11" t="s">
        <v>1958</v>
      </c>
      <c r="G1090" s="44" t="s">
        <v>1884</v>
      </c>
      <c r="I1090" s="13" t="str">
        <f>IFERROR(__xludf.DUMMYFUNCTION("if(isblank(A1090),,split(A1090,""ー""))"),"40-164")</f>
        <v>40-164</v>
      </c>
      <c r="K1090" s="13" t="str">
        <f>IFERROR(__xludf.DUMMYFUNCTION("if(isblank(B1090),,split(B1090,""ー""))"),"40-165")</f>
        <v>40-165</v>
      </c>
    </row>
    <row r="1091">
      <c r="A1091" s="15" t="s">
        <v>1957</v>
      </c>
      <c r="B1091" s="16" t="s">
        <v>1959</v>
      </c>
      <c r="C1091" s="13"/>
      <c r="D1091" s="6" t="s">
        <v>1930</v>
      </c>
      <c r="E1091" s="10" t="s">
        <v>1878</v>
      </c>
      <c r="F1091" s="11" t="s">
        <v>36</v>
      </c>
      <c r="G1091" s="44" t="s">
        <v>1884</v>
      </c>
      <c r="I1091" s="13" t="str">
        <f>IFERROR(__xludf.DUMMYFUNCTION("if(isblank(A1091),,split(A1091,""ー""))"),"40-165")</f>
        <v>40-165</v>
      </c>
      <c r="K1091" s="13" t="str">
        <f>IFERROR(__xludf.DUMMYFUNCTION("if(isblank(B1091),,split(B1091,""ー""))"),"40-167")</f>
        <v>40-167</v>
      </c>
    </row>
    <row r="1092">
      <c r="A1092" s="15" t="s">
        <v>1960</v>
      </c>
      <c r="B1092" s="16" t="s">
        <v>1961</v>
      </c>
      <c r="C1092" s="9"/>
      <c r="D1092" s="10" t="s">
        <v>36</v>
      </c>
      <c r="E1092" s="10" t="s">
        <v>1878</v>
      </c>
      <c r="F1092" s="11" t="s">
        <v>36</v>
      </c>
      <c r="G1092" s="12" t="s">
        <v>1884</v>
      </c>
      <c r="I1092" s="13" t="str">
        <f>IFERROR(__xludf.DUMMYFUNCTION("if(isblank(A1092),,split(A1092,""ー""))"),"40-25")</f>
        <v>40-25</v>
      </c>
      <c r="K1092" s="13" t="str">
        <f>IFERROR(__xludf.DUMMYFUNCTION("if(isblank(B1092),,split(B1092,""ー""))"),"40-52")</f>
        <v>40-52</v>
      </c>
    </row>
    <row r="1093">
      <c r="A1093" s="15" t="s">
        <v>1962</v>
      </c>
      <c r="B1093" s="16" t="s">
        <v>1963</v>
      </c>
      <c r="C1093" s="9"/>
      <c r="D1093" s="10" t="s">
        <v>308</v>
      </c>
      <c r="E1093" s="10" t="s">
        <v>1878</v>
      </c>
      <c r="F1093" s="11" t="s">
        <v>1888</v>
      </c>
      <c r="G1093" s="12" t="s">
        <v>1884</v>
      </c>
      <c r="I1093" s="13" t="str">
        <f>IFERROR(__xludf.DUMMYFUNCTION("if(isblank(A1093),,split(A1093,""ー""))"),"40-27")</f>
        <v>40-27</v>
      </c>
      <c r="K1093" s="13" t="str">
        <f>IFERROR(__xludf.DUMMYFUNCTION("if(isblank(B1093),,split(B1093,""ー""))"),"40-28")</f>
        <v>40-28</v>
      </c>
    </row>
    <row r="1094">
      <c r="A1094" s="15" t="s">
        <v>1962</v>
      </c>
      <c r="B1094" s="16" t="s">
        <v>1964</v>
      </c>
      <c r="C1094" s="9"/>
      <c r="D1094" s="10" t="s">
        <v>36</v>
      </c>
      <c r="E1094" s="10" t="s">
        <v>1878</v>
      </c>
      <c r="F1094" s="11" t="s">
        <v>36</v>
      </c>
      <c r="G1094" s="12" t="s">
        <v>1884</v>
      </c>
      <c r="I1094" s="13" t="str">
        <f>IFERROR(__xludf.DUMMYFUNCTION("if(isblank(A1094),,split(A1094,""ー""))"),"40-27")</f>
        <v>40-27</v>
      </c>
      <c r="K1094" s="13" t="str">
        <f>IFERROR(__xludf.DUMMYFUNCTION("if(isblank(B1094),,split(B1094,""ー""))"),"id不明（第一報では40-27は陽性者の濃厚接触者）")</f>
        <v>id不明（第一報では40-27は陽性者の濃厚接触者）</v>
      </c>
    </row>
    <row r="1095">
      <c r="A1095" s="15" t="s">
        <v>1965</v>
      </c>
      <c r="B1095" s="16" t="s">
        <v>1966</v>
      </c>
      <c r="C1095" s="9">
        <v>43914.0</v>
      </c>
      <c r="D1095" s="10" t="s">
        <v>36</v>
      </c>
      <c r="E1095" s="10" t="s">
        <v>1878</v>
      </c>
      <c r="F1095" s="11" t="s">
        <v>36</v>
      </c>
      <c r="G1095" s="12" t="s">
        <v>1884</v>
      </c>
      <c r="I1095" s="13" t="str">
        <f>IFERROR(__xludf.DUMMYFUNCTION("if(isblank(A1095),,split(A1095,""ー""))"),"40-34")</f>
        <v>40-34</v>
      </c>
      <c r="K1095" s="13" t="str">
        <f>IFERROR(__xludf.DUMMYFUNCTION("if(isblank(B1095),,split(B1095,""ー""))"),"id不明（第一報では40-34は陽性者の濃厚接触者）")</f>
        <v>id不明（第一報では40-34は陽性者の濃厚接触者）</v>
      </c>
    </row>
    <row r="1096">
      <c r="A1096" s="15" t="s">
        <v>1967</v>
      </c>
      <c r="B1096" s="16" t="s">
        <v>1968</v>
      </c>
      <c r="C1096" s="9"/>
      <c r="D1096" s="10" t="s">
        <v>1969</v>
      </c>
      <c r="E1096" s="10" t="s">
        <v>1878</v>
      </c>
      <c r="F1096" s="11" t="s">
        <v>1970</v>
      </c>
      <c r="G1096" s="12" t="s">
        <v>1884</v>
      </c>
      <c r="I1096" s="13" t="str">
        <f>IFERROR(__xludf.DUMMYFUNCTION("if(isblank(A1096),,split(A1096,""ー""))"),"40-35")</f>
        <v>40-35</v>
      </c>
      <c r="K1096" s="13" t="str">
        <f>IFERROR(__xludf.DUMMYFUNCTION("if(isblank(B1096),,split(B1096,""ー""))"),"40-76")</f>
        <v>40-76</v>
      </c>
    </row>
    <row r="1097">
      <c r="A1097" s="15" t="s">
        <v>1967</v>
      </c>
      <c r="B1097" s="16" t="s">
        <v>1971</v>
      </c>
      <c r="C1097" s="9"/>
      <c r="D1097" s="10" t="s">
        <v>1969</v>
      </c>
      <c r="E1097" s="10" t="s">
        <v>1878</v>
      </c>
      <c r="F1097" s="11" t="s">
        <v>1970</v>
      </c>
      <c r="G1097" s="12" t="s">
        <v>1884</v>
      </c>
      <c r="I1097" s="13" t="str">
        <f>IFERROR(__xludf.DUMMYFUNCTION("if(isblank(A1097),,split(A1097,""ー""))"),"40-35")</f>
        <v>40-35</v>
      </c>
      <c r="K1097" s="13" t="str">
        <f>IFERROR(__xludf.DUMMYFUNCTION("if(isblank(B1097),,split(B1097,""ー""))"),"40-77")</f>
        <v>40-77</v>
      </c>
    </row>
    <row r="1098">
      <c r="A1098" s="15" t="s">
        <v>1967</v>
      </c>
      <c r="B1098" s="16" t="s">
        <v>1972</v>
      </c>
      <c r="C1098" s="9"/>
      <c r="D1098" s="10" t="s">
        <v>1973</v>
      </c>
      <c r="E1098" s="10" t="s">
        <v>1878</v>
      </c>
      <c r="F1098" s="11" t="s">
        <v>36</v>
      </c>
      <c r="G1098" s="12" t="s">
        <v>1884</v>
      </c>
      <c r="I1098" s="13" t="str">
        <f>IFERROR(__xludf.DUMMYFUNCTION("if(isblank(A1098),,split(A1098,""ー""))"),"40-35")</f>
        <v>40-35</v>
      </c>
      <c r="K1098" s="13" t="str">
        <f>IFERROR(__xludf.DUMMYFUNCTION("if(isblank(B1098),,split(B1098,""ー""))"),"40-99")</f>
        <v>40-99</v>
      </c>
    </row>
    <row r="1099">
      <c r="A1099" s="15" t="s">
        <v>1974</v>
      </c>
      <c r="B1099" s="16" t="s">
        <v>1975</v>
      </c>
      <c r="C1099" s="9"/>
      <c r="D1099" s="10" t="s">
        <v>1976</v>
      </c>
      <c r="E1099" s="10" t="s">
        <v>1878</v>
      </c>
      <c r="F1099" s="125" t="s">
        <v>1977</v>
      </c>
      <c r="G1099" s="12" t="s">
        <v>1884</v>
      </c>
      <c r="I1099" s="13" t="str">
        <f>IFERROR(__xludf.DUMMYFUNCTION("if(isblank(A1099),,split(A1099,""ー""))"),"40-39")</f>
        <v>40-39</v>
      </c>
      <c r="K1099" s="13" t="str">
        <f>IFERROR(__xludf.DUMMYFUNCTION("if(isblank(B1099),,split(B1099,""ー""))"),"40-79")</f>
        <v>40-79</v>
      </c>
    </row>
    <row r="1100">
      <c r="A1100" s="15" t="s">
        <v>1974</v>
      </c>
      <c r="B1100" s="16" t="s">
        <v>1978</v>
      </c>
      <c r="C1100" s="9"/>
      <c r="D1100" s="10" t="s">
        <v>1976</v>
      </c>
      <c r="E1100" s="10" t="s">
        <v>1878</v>
      </c>
      <c r="F1100" s="125" t="s">
        <v>1977</v>
      </c>
      <c r="G1100" s="12" t="s">
        <v>1884</v>
      </c>
      <c r="I1100" s="13" t="str">
        <f>IFERROR(__xludf.DUMMYFUNCTION("if(isblank(A1100),,split(A1100,""ー""))"),"40-39")</f>
        <v>40-39</v>
      </c>
      <c r="K1100" s="13" t="str">
        <f>IFERROR(__xludf.DUMMYFUNCTION("if(isblank(B1100),,split(B1100,""ー""))"),"40-80")</f>
        <v>40-80</v>
      </c>
    </row>
    <row r="1101">
      <c r="A1101" s="15" t="s">
        <v>1974</v>
      </c>
      <c r="B1101" s="16" t="s">
        <v>1979</v>
      </c>
      <c r="C1101" s="9"/>
      <c r="D1101" s="10" t="s">
        <v>1976</v>
      </c>
      <c r="E1101" s="10" t="s">
        <v>1878</v>
      </c>
      <c r="F1101" s="125" t="s">
        <v>1977</v>
      </c>
      <c r="G1101" s="12" t="s">
        <v>1884</v>
      </c>
      <c r="I1101" s="13" t="str">
        <f>IFERROR(__xludf.DUMMYFUNCTION("if(isblank(A1101),,split(A1101,""ー""))"),"40-39")</f>
        <v>40-39</v>
      </c>
      <c r="K1101" s="13" t="str">
        <f>IFERROR(__xludf.DUMMYFUNCTION("if(isblank(B1101),,split(B1101,""ー""))"),"40-81")</f>
        <v>40-81</v>
      </c>
    </row>
    <row r="1102">
      <c r="A1102" s="15" t="s">
        <v>1974</v>
      </c>
      <c r="B1102" s="16" t="s">
        <v>1980</v>
      </c>
      <c r="C1102" s="9"/>
      <c r="D1102" s="10" t="s">
        <v>1976</v>
      </c>
      <c r="E1102" s="10" t="s">
        <v>1878</v>
      </c>
      <c r="F1102" s="125" t="s">
        <v>1977</v>
      </c>
      <c r="G1102" s="12" t="s">
        <v>1884</v>
      </c>
      <c r="I1102" s="13" t="str">
        <f>IFERROR(__xludf.DUMMYFUNCTION("if(isblank(A1102),,split(A1102,""ー""))"),"40-39")</f>
        <v>40-39</v>
      </c>
      <c r="K1102" s="13" t="str">
        <f>IFERROR(__xludf.DUMMYFUNCTION("if(isblank(B1102),,split(B1102,""ー""))"),"40-82")</f>
        <v>40-82</v>
      </c>
    </row>
    <row r="1103">
      <c r="A1103" s="15" t="s">
        <v>1981</v>
      </c>
      <c r="B1103" s="16" t="s">
        <v>1982</v>
      </c>
      <c r="C1103" s="9"/>
      <c r="D1103" s="10" t="s">
        <v>1983</v>
      </c>
      <c r="E1103" s="10" t="s">
        <v>1878</v>
      </c>
      <c r="F1103" s="11"/>
      <c r="G1103" s="12" t="s">
        <v>1884</v>
      </c>
      <c r="I1103" s="13" t="str">
        <f>IFERROR(__xludf.DUMMYFUNCTION("if(isblank(A1103),,split(A1103,""ー""))"),"40-41")</f>
        <v>40-41</v>
      </c>
      <c r="K1103" s="13" t="str">
        <f>IFERROR(__xludf.DUMMYFUNCTION("if(isblank(B1103),,split(B1103,""ー""))"),"40-83")</f>
        <v>40-83</v>
      </c>
    </row>
    <row r="1104">
      <c r="A1104" s="15" t="s">
        <v>1984</v>
      </c>
      <c r="B1104" s="16" t="s">
        <v>1985</v>
      </c>
      <c r="C1104" s="9"/>
      <c r="D1104" s="10" t="s">
        <v>1976</v>
      </c>
      <c r="E1104" s="10" t="s">
        <v>1878</v>
      </c>
      <c r="F1104" s="11" t="s">
        <v>1986</v>
      </c>
      <c r="G1104" s="12" t="s">
        <v>1884</v>
      </c>
      <c r="I1104" s="13" t="str">
        <f>IFERROR(__xludf.DUMMYFUNCTION("if(isblank(A1104),,split(A1104,""ー""))"),"40-44")</f>
        <v>40-44</v>
      </c>
      <c r="K1104" s="13" t="str">
        <f>IFERROR(__xludf.DUMMYFUNCTION("if(isblank(B1104),,split(B1104,""ー""))"),"40-53")</f>
        <v>40-53</v>
      </c>
    </row>
    <row r="1105">
      <c r="A1105" s="15" t="s">
        <v>1984</v>
      </c>
      <c r="B1105" s="16" t="s">
        <v>1987</v>
      </c>
      <c r="C1105" s="9"/>
      <c r="D1105" s="10" t="s">
        <v>1976</v>
      </c>
      <c r="E1105" s="10" t="s">
        <v>1878</v>
      </c>
      <c r="F1105" s="11" t="s">
        <v>1986</v>
      </c>
      <c r="G1105" s="12" t="s">
        <v>1884</v>
      </c>
      <c r="I1105" s="13" t="str">
        <f>IFERROR(__xludf.DUMMYFUNCTION("if(isblank(A1105),,split(A1105,""ー""))"),"40-44")</f>
        <v>40-44</v>
      </c>
      <c r="K1105" s="13" t="str">
        <f>IFERROR(__xludf.DUMMYFUNCTION("if(isblank(B1105),,split(B1105,""ー""))"),"40-54")</f>
        <v>40-54</v>
      </c>
    </row>
    <row r="1106">
      <c r="A1106" s="15" t="s">
        <v>1984</v>
      </c>
      <c r="B1106" s="16" t="s">
        <v>1988</v>
      </c>
      <c r="C1106" s="9"/>
      <c r="D1106" s="10" t="s">
        <v>1976</v>
      </c>
      <c r="E1106" s="10" t="s">
        <v>1878</v>
      </c>
      <c r="F1106" s="11" t="s">
        <v>1986</v>
      </c>
      <c r="G1106" s="12" t="s">
        <v>1884</v>
      </c>
      <c r="I1106" s="13" t="str">
        <f>IFERROR(__xludf.DUMMYFUNCTION("if(isblank(A1106),,split(A1106,""ー""))"),"40-44")</f>
        <v>40-44</v>
      </c>
      <c r="K1106" s="13" t="str">
        <f>IFERROR(__xludf.DUMMYFUNCTION("if(isblank(B1106),,split(B1106,""ー""))"),"40-55")</f>
        <v>40-55</v>
      </c>
    </row>
    <row r="1107">
      <c r="A1107" s="15" t="s">
        <v>1984</v>
      </c>
      <c r="B1107" s="16" t="s">
        <v>1989</v>
      </c>
      <c r="C1107" s="9"/>
      <c r="D1107" s="10" t="s">
        <v>1976</v>
      </c>
      <c r="E1107" s="10" t="s">
        <v>1878</v>
      </c>
      <c r="F1107" s="11" t="s">
        <v>1986</v>
      </c>
      <c r="G1107" s="12" t="s">
        <v>1884</v>
      </c>
      <c r="I1107" s="13" t="str">
        <f>IFERROR(__xludf.DUMMYFUNCTION("if(isblank(A1107),,split(A1107,""ー""))"),"40-44")</f>
        <v>40-44</v>
      </c>
      <c r="K1107" s="13" t="str">
        <f>IFERROR(__xludf.DUMMYFUNCTION("if(isblank(B1107),,split(B1107,""ー""))"),"40-56")</f>
        <v>40-56</v>
      </c>
    </row>
    <row r="1108">
      <c r="A1108" s="15" t="s">
        <v>1984</v>
      </c>
      <c r="B1108" s="16" t="s">
        <v>1990</v>
      </c>
      <c r="C1108" s="9"/>
      <c r="D1108" s="10" t="s">
        <v>1976</v>
      </c>
      <c r="E1108" s="10" t="s">
        <v>1878</v>
      </c>
      <c r="F1108" s="11" t="s">
        <v>1986</v>
      </c>
      <c r="G1108" s="12" t="s">
        <v>1884</v>
      </c>
      <c r="I1108" s="13" t="str">
        <f>IFERROR(__xludf.DUMMYFUNCTION("if(isblank(A1108),,split(A1108,""ー""))"),"40-44")</f>
        <v>40-44</v>
      </c>
      <c r="K1108" s="13" t="str">
        <f>IFERROR(__xludf.DUMMYFUNCTION("if(isblank(B1108),,split(B1108,""ー""))"),"40-57")</f>
        <v>40-57</v>
      </c>
    </row>
    <row r="1109">
      <c r="A1109" s="15" t="s">
        <v>1984</v>
      </c>
      <c r="B1109" s="16" t="s">
        <v>1991</v>
      </c>
      <c r="C1109" s="9"/>
      <c r="D1109" s="10" t="s">
        <v>1976</v>
      </c>
      <c r="E1109" s="10" t="s">
        <v>1878</v>
      </c>
      <c r="F1109" s="11" t="s">
        <v>1986</v>
      </c>
      <c r="G1109" s="12" t="s">
        <v>1884</v>
      </c>
      <c r="I1109" s="13" t="str">
        <f>IFERROR(__xludf.DUMMYFUNCTION("if(isblank(A1109),,split(A1109,""ー""))"),"40-44")</f>
        <v>40-44</v>
      </c>
      <c r="K1109" s="13" t="str">
        <f>IFERROR(__xludf.DUMMYFUNCTION("if(isblank(B1109),,split(B1109,""ー""))"),"40-58")</f>
        <v>40-58</v>
      </c>
    </row>
    <row r="1110">
      <c r="A1110" s="15" t="s">
        <v>1984</v>
      </c>
      <c r="B1110" s="16" t="s">
        <v>1992</v>
      </c>
      <c r="C1110" s="9"/>
      <c r="D1110" s="10" t="s">
        <v>1976</v>
      </c>
      <c r="E1110" s="10" t="s">
        <v>1878</v>
      </c>
      <c r="F1110" s="11" t="s">
        <v>1986</v>
      </c>
      <c r="G1110" s="12" t="s">
        <v>1884</v>
      </c>
      <c r="I1110" s="13" t="str">
        <f>IFERROR(__xludf.DUMMYFUNCTION("if(isblank(A1110),,split(A1110,""ー""))"),"40-44")</f>
        <v>40-44</v>
      </c>
      <c r="K1110" s="13" t="str">
        <f>IFERROR(__xludf.DUMMYFUNCTION("if(isblank(B1110),,split(B1110,""ー""))"),"40-59")</f>
        <v>40-59</v>
      </c>
    </row>
    <row r="1111">
      <c r="A1111" s="15" t="s">
        <v>1984</v>
      </c>
      <c r="B1111" s="16" t="s">
        <v>1993</v>
      </c>
      <c r="C1111" s="9"/>
      <c r="D1111" s="10" t="s">
        <v>1976</v>
      </c>
      <c r="E1111" s="10" t="s">
        <v>1878</v>
      </c>
      <c r="F1111" s="11" t="s">
        <v>1986</v>
      </c>
      <c r="G1111" s="12" t="s">
        <v>1884</v>
      </c>
      <c r="I1111" s="13" t="str">
        <f>IFERROR(__xludf.DUMMYFUNCTION("if(isblank(A1111),,split(A1111,""ー""))"),"40-44")</f>
        <v>40-44</v>
      </c>
      <c r="K1111" s="13" t="str">
        <f>IFERROR(__xludf.DUMMYFUNCTION("if(isblank(B1111),,split(B1111,""ー""))"),"40-60")</f>
        <v>40-60</v>
      </c>
    </row>
    <row r="1112">
      <c r="A1112" s="15" t="s">
        <v>1984</v>
      </c>
      <c r="B1112" s="16" t="s">
        <v>1994</v>
      </c>
      <c r="C1112" s="9"/>
      <c r="D1112" s="10" t="s">
        <v>1976</v>
      </c>
      <c r="E1112" s="10" t="s">
        <v>1878</v>
      </c>
      <c r="F1112" s="11" t="s">
        <v>1986</v>
      </c>
      <c r="G1112" s="12" t="s">
        <v>1884</v>
      </c>
      <c r="I1112" s="13" t="str">
        <f>IFERROR(__xludf.DUMMYFUNCTION("if(isblank(A1112),,split(A1112,""ー""))"),"40-44")</f>
        <v>40-44</v>
      </c>
      <c r="K1112" s="13" t="str">
        <f>IFERROR(__xludf.DUMMYFUNCTION("if(isblank(B1112),,split(B1112,""ー""))"),"40-61")</f>
        <v>40-61</v>
      </c>
    </row>
    <row r="1113">
      <c r="A1113" s="15" t="s">
        <v>1984</v>
      </c>
      <c r="B1113" s="16" t="s">
        <v>1995</v>
      </c>
      <c r="C1113" s="9"/>
      <c r="D1113" s="10" t="s">
        <v>1976</v>
      </c>
      <c r="E1113" s="10" t="s">
        <v>1878</v>
      </c>
      <c r="F1113" s="11" t="s">
        <v>1986</v>
      </c>
      <c r="G1113" s="12" t="s">
        <v>1884</v>
      </c>
      <c r="I1113" s="13" t="str">
        <f>IFERROR(__xludf.DUMMYFUNCTION("if(isblank(A1113),,split(A1113,""ー""))"),"40-44")</f>
        <v>40-44</v>
      </c>
      <c r="K1113" s="13" t="str">
        <f>IFERROR(__xludf.DUMMYFUNCTION("if(isblank(B1113),,split(B1113,""ー""))"),"40-62")</f>
        <v>40-62</v>
      </c>
    </row>
    <row r="1114">
      <c r="A1114" s="15" t="s">
        <v>1984</v>
      </c>
      <c r="B1114" s="16" t="s">
        <v>1996</v>
      </c>
      <c r="C1114" s="9"/>
      <c r="D1114" s="10" t="s">
        <v>1976</v>
      </c>
      <c r="E1114" s="10" t="s">
        <v>1878</v>
      </c>
      <c r="F1114" s="11" t="s">
        <v>1986</v>
      </c>
      <c r="G1114" s="12" t="s">
        <v>1884</v>
      </c>
      <c r="I1114" s="13" t="str">
        <f>IFERROR(__xludf.DUMMYFUNCTION("if(isblank(A1114),,split(A1114,""ー""))"),"40-44")</f>
        <v>40-44</v>
      </c>
      <c r="K1114" s="13" t="str">
        <f>IFERROR(__xludf.DUMMYFUNCTION("if(isblank(B1114),,split(B1114,""ー""))"),"40-63")</f>
        <v>40-63</v>
      </c>
    </row>
    <row r="1115">
      <c r="A1115" s="15" t="s">
        <v>1984</v>
      </c>
      <c r="B1115" s="16" t="s">
        <v>1997</v>
      </c>
      <c r="C1115" s="9"/>
      <c r="D1115" s="10" t="s">
        <v>1976</v>
      </c>
      <c r="E1115" s="10" t="s">
        <v>1878</v>
      </c>
      <c r="F1115" s="11" t="s">
        <v>1986</v>
      </c>
      <c r="G1115" s="12" t="s">
        <v>1884</v>
      </c>
      <c r="I1115" s="13" t="str">
        <f>IFERROR(__xludf.DUMMYFUNCTION("if(isblank(A1115),,split(A1115,""ー""))"),"40-44")</f>
        <v>40-44</v>
      </c>
      <c r="K1115" s="13" t="str">
        <f>IFERROR(__xludf.DUMMYFUNCTION("if(isblank(B1115),,split(B1115,""ー""))"),"40-64")</f>
        <v>40-64</v>
      </c>
    </row>
    <row r="1116">
      <c r="A1116" s="15" t="s">
        <v>1984</v>
      </c>
      <c r="B1116" s="16" t="s">
        <v>1998</v>
      </c>
      <c r="C1116" s="9"/>
      <c r="D1116" s="10" t="s">
        <v>1976</v>
      </c>
      <c r="E1116" s="10" t="s">
        <v>1878</v>
      </c>
      <c r="F1116" s="11" t="s">
        <v>1986</v>
      </c>
      <c r="G1116" s="12" t="s">
        <v>1884</v>
      </c>
      <c r="I1116" s="13" t="str">
        <f>IFERROR(__xludf.DUMMYFUNCTION("if(isblank(A1116),,split(A1116,""ー""))"),"40-44")</f>
        <v>40-44</v>
      </c>
      <c r="K1116" s="13" t="str">
        <f>IFERROR(__xludf.DUMMYFUNCTION("if(isblank(B1116),,split(B1116,""ー""))"),"40-65")</f>
        <v>40-65</v>
      </c>
    </row>
    <row r="1117">
      <c r="A1117" s="15" t="s">
        <v>1984</v>
      </c>
      <c r="B1117" s="16" t="s">
        <v>1999</v>
      </c>
      <c r="C1117" s="9"/>
      <c r="D1117" s="10" t="s">
        <v>1976</v>
      </c>
      <c r="E1117" s="10" t="s">
        <v>1878</v>
      </c>
      <c r="F1117" s="11" t="s">
        <v>1986</v>
      </c>
      <c r="G1117" s="12" t="s">
        <v>1884</v>
      </c>
      <c r="I1117" s="13" t="str">
        <f>IFERROR(__xludf.DUMMYFUNCTION("if(isblank(A1117),,split(A1117,""ー""))"),"40-44")</f>
        <v>40-44</v>
      </c>
      <c r="K1117" s="13" t="str">
        <f>IFERROR(__xludf.DUMMYFUNCTION("if(isblank(B1117),,split(B1117,""ー""))"),"40-66")</f>
        <v>40-66</v>
      </c>
    </row>
    <row r="1118">
      <c r="A1118" s="15" t="s">
        <v>1984</v>
      </c>
      <c r="B1118" s="16" t="s">
        <v>2000</v>
      </c>
      <c r="C1118" s="9"/>
      <c r="D1118" s="10" t="s">
        <v>1976</v>
      </c>
      <c r="E1118" s="10" t="s">
        <v>1878</v>
      </c>
      <c r="F1118" s="11" t="s">
        <v>1986</v>
      </c>
      <c r="G1118" s="12" t="s">
        <v>1884</v>
      </c>
      <c r="I1118" s="13" t="str">
        <f>IFERROR(__xludf.DUMMYFUNCTION("if(isblank(A1118),,split(A1118,""ー""))"),"40-44")</f>
        <v>40-44</v>
      </c>
      <c r="K1118" s="13" t="str">
        <f>IFERROR(__xludf.DUMMYFUNCTION("if(isblank(B1118),,split(B1118,""ー""))"),"40-67")</f>
        <v>40-67</v>
      </c>
    </row>
    <row r="1119">
      <c r="A1119" s="15" t="s">
        <v>1984</v>
      </c>
      <c r="B1119" s="16" t="s">
        <v>2001</v>
      </c>
      <c r="C1119" s="9"/>
      <c r="D1119" s="10" t="s">
        <v>1976</v>
      </c>
      <c r="E1119" s="10" t="s">
        <v>1878</v>
      </c>
      <c r="F1119" s="11" t="s">
        <v>1986</v>
      </c>
      <c r="G1119" s="12" t="s">
        <v>1884</v>
      </c>
      <c r="I1119" s="13" t="str">
        <f>IFERROR(__xludf.DUMMYFUNCTION("if(isblank(A1119),,split(A1119,""ー""))"),"40-44")</f>
        <v>40-44</v>
      </c>
      <c r="K1119" s="13" t="str">
        <f>IFERROR(__xludf.DUMMYFUNCTION("if(isblank(B1119),,split(B1119,""ー""))"),"40-68")</f>
        <v>40-68</v>
      </c>
    </row>
    <row r="1120">
      <c r="A1120" s="15" t="s">
        <v>1984</v>
      </c>
      <c r="B1120" s="16" t="s">
        <v>2002</v>
      </c>
      <c r="C1120" s="9"/>
      <c r="D1120" s="10" t="s">
        <v>1976</v>
      </c>
      <c r="E1120" s="10" t="s">
        <v>1878</v>
      </c>
      <c r="F1120" s="11" t="s">
        <v>1986</v>
      </c>
      <c r="G1120" s="12" t="s">
        <v>1884</v>
      </c>
      <c r="I1120" s="13" t="str">
        <f>IFERROR(__xludf.DUMMYFUNCTION("if(isblank(A1120),,split(A1120,""ー""))"),"40-44")</f>
        <v>40-44</v>
      </c>
      <c r="K1120" s="13" t="str">
        <f>IFERROR(__xludf.DUMMYFUNCTION("if(isblank(B1120),,split(B1120,""ー""))"),"40-69")</f>
        <v>40-69</v>
      </c>
    </row>
    <row r="1121">
      <c r="A1121" s="15" t="s">
        <v>1984</v>
      </c>
      <c r="B1121" s="16" t="s">
        <v>2003</v>
      </c>
      <c r="C1121" s="9"/>
      <c r="D1121" s="10" t="s">
        <v>1976</v>
      </c>
      <c r="E1121" s="10" t="s">
        <v>1878</v>
      </c>
      <c r="F1121" s="11" t="s">
        <v>1986</v>
      </c>
      <c r="G1121" s="12" t="s">
        <v>1884</v>
      </c>
      <c r="I1121" s="13" t="str">
        <f>IFERROR(__xludf.DUMMYFUNCTION("if(isblank(A1121),,split(A1121,""ー""))"),"40-44")</f>
        <v>40-44</v>
      </c>
      <c r="K1121" s="13" t="str">
        <f>IFERROR(__xludf.DUMMYFUNCTION("if(isblank(B1121),,split(B1121,""ー""))"),"40-84")</f>
        <v>40-84</v>
      </c>
    </row>
    <row r="1122">
      <c r="A1122" s="15" t="s">
        <v>1984</v>
      </c>
      <c r="B1122" s="16" t="s">
        <v>2004</v>
      </c>
      <c r="C1122" s="9"/>
      <c r="D1122" s="10" t="s">
        <v>1976</v>
      </c>
      <c r="E1122" s="10" t="s">
        <v>1878</v>
      </c>
      <c r="F1122" s="11" t="s">
        <v>1986</v>
      </c>
      <c r="G1122" s="12" t="s">
        <v>1884</v>
      </c>
      <c r="I1122" s="13" t="str">
        <f>IFERROR(__xludf.DUMMYFUNCTION("if(isblank(A1122),,split(A1122,""ー""))"),"40-44")</f>
        <v>40-44</v>
      </c>
      <c r="K1122" s="13" t="str">
        <f>IFERROR(__xludf.DUMMYFUNCTION("if(isblank(B1122),,split(B1122,""ー""))"),"40-85")</f>
        <v>40-85</v>
      </c>
    </row>
    <row r="1123">
      <c r="A1123" s="15" t="s">
        <v>2005</v>
      </c>
      <c r="B1123" s="16" t="s">
        <v>1881</v>
      </c>
      <c r="C1123" s="9"/>
      <c r="D1123" s="10" t="s">
        <v>36</v>
      </c>
      <c r="E1123" s="10" t="s">
        <v>1878</v>
      </c>
      <c r="F1123" s="11" t="s">
        <v>36</v>
      </c>
      <c r="G1123" s="12" t="s">
        <v>1884</v>
      </c>
      <c r="I1123" s="13" t="str">
        <f>IFERROR(__xludf.DUMMYFUNCTION("if(isblank(A1123),,split(A1123,""ー""))"),"40-48")</f>
        <v>40-48</v>
      </c>
      <c r="K1123" s="13" t="str">
        <f>IFERROR(__xludf.DUMMYFUNCTION("if(isblank(B1123),,split(B1123,""ー""))"),"40-104")</f>
        <v>40-104</v>
      </c>
    </row>
    <row r="1124">
      <c r="A1124" s="15" t="s">
        <v>2005</v>
      </c>
      <c r="B1124" s="16" t="s">
        <v>2006</v>
      </c>
      <c r="C1124" s="9"/>
      <c r="D1124" s="10" t="s">
        <v>36</v>
      </c>
      <c r="E1124" s="10" t="s">
        <v>1878</v>
      </c>
      <c r="F1124" s="11" t="s">
        <v>36</v>
      </c>
      <c r="G1124" s="12" t="s">
        <v>1884</v>
      </c>
      <c r="I1124" s="13" t="str">
        <f>IFERROR(__xludf.DUMMYFUNCTION("if(isblank(A1124),,split(A1124,""ー""))"),"40-48")</f>
        <v>40-48</v>
      </c>
      <c r="K1124" s="13" t="str">
        <f>IFERROR(__xludf.DUMMYFUNCTION("if(isblank(B1124),,split(B1124,""ー""))"),"40-105")</f>
        <v>40-105</v>
      </c>
    </row>
    <row r="1125">
      <c r="A1125" s="15" t="s">
        <v>2005</v>
      </c>
      <c r="B1125" s="16" t="s">
        <v>2007</v>
      </c>
      <c r="C1125" s="9"/>
      <c r="D1125" s="10" t="s">
        <v>36</v>
      </c>
      <c r="E1125" s="10" t="s">
        <v>1878</v>
      </c>
      <c r="F1125" s="11" t="s">
        <v>36</v>
      </c>
      <c r="G1125" s="12" t="s">
        <v>1884</v>
      </c>
      <c r="I1125" s="13" t="str">
        <f>IFERROR(__xludf.DUMMYFUNCTION("if(isblank(A1125),,split(A1125,""ー""))"),"40-48")</f>
        <v>40-48</v>
      </c>
      <c r="K1125" s="13" t="str">
        <f>IFERROR(__xludf.DUMMYFUNCTION("if(isblank(B1125),,split(B1125,""ー""))"),"40-106")</f>
        <v>40-106</v>
      </c>
    </row>
    <row r="1126">
      <c r="A1126" s="15" t="s">
        <v>2005</v>
      </c>
      <c r="B1126" s="16" t="s">
        <v>2008</v>
      </c>
      <c r="C1126" s="9"/>
      <c r="D1126" s="10" t="s">
        <v>36</v>
      </c>
      <c r="E1126" s="10" t="s">
        <v>1878</v>
      </c>
      <c r="F1126" s="11" t="s">
        <v>36</v>
      </c>
      <c r="G1126" s="12" t="s">
        <v>1884</v>
      </c>
      <c r="I1126" s="13" t="str">
        <f>IFERROR(__xludf.DUMMYFUNCTION("if(isblank(A1126),,split(A1126,""ー""))"),"40-48")</f>
        <v>40-48</v>
      </c>
      <c r="K1126" s="13" t="str">
        <f>IFERROR(__xludf.DUMMYFUNCTION("if(isblank(B1126),,split(B1126,""ー""))"),"40-107")</f>
        <v>40-107</v>
      </c>
    </row>
    <row r="1127">
      <c r="A1127" s="15" t="s">
        <v>2009</v>
      </c>
      <c r="B1127" s="16" t="s">
        <v>2010</v>
      </c>
      <c r="C1127" s="9"/>
      <c r="D1127" s="10" t="s">
        <v>2011</v>
      </c>
      <c r="E1127" s="10" t="s">
        <v>1878</v>
      </c>
      <c r="F1127" s="11" t="s">
        <v>2012</v>
      </c>
      <c r="G1127" s="11" t="s">
        <v>2013</v>
      </c>
      <c r="I1127" s="13" t="str">
        <f>IFERROR(__xludf.DUMMYFUNCTION("if(isblank(A1127),,split(A1127,""ー""))"),"40-49")</f>
        <v>40-49</v>
      </c>
      <c r="K1127" s="13" t="str">
        <f>IFERROR(__xludf.DUMMYFUNCTION("if(isblank(B1127),,split(B1127,""ー""))"),"40-90")</f>
        <v>40-90</v>
      </c>
    </row>
    <row r="1128">
      <c r="A1128" s="15" t="s">
        <v>2009</v>
      </c>
      <c r="B1128" s="16" t="s">
        <v>2014</v>
      </c>
      <c r="C1128" s="9"/>
      <c r="D1128" s="10" t="s">
        <v>2011</v>
      </c>
      <c r="E1128" s="10" t="s">
        <v>1878</v>
      </c>
      <c r="F1128" s="11" t="s">
        <v>2012</v>
      </c>
      <c r="G1128" s="11" t="s">
        <v>2015</v>
      </c>
      <c r="I1128" s="13" t="str">
        <f>IFERROR(__xludf.DUMMYFUNCTION("if(isblank(A1128),,split(A1128,""ー""))"),"40-49")</f>
        <v>40-49</v>
      </c>
      <c r="K1128" s="13" t="str">
        <f>IFERROR(__xludf.DUMMYFUNCTION("if(isblank(B1128),,split(B1128,""ー""))"),"40-91")</f>
        <v>40-91</v>
      </c>
    </row>
    <row r="1129">
      <c r="A1129" s="15" t="s">
        <v>2009</v>
      </c>
      <c r="B1129" s="16" t="s">
        <v>2016</v>
      </c>
      <c r="C1129" s="9"/>
      <c r="D1129" s="10" t="s">
        <v>2011</v>
      </c>
      <c r="E1129" s="10" t="s">
        <v>1878</v>
      </c>
      <c r="F1129" s="11" t="s">
        <v>2012</v>
      </c>
      <c r="G1129" s="11" t="s">
        <v>2017</v>
      </c>
      <c r="I1129" s="13" t="str">
        <f>IFERROR(__xludf.DUMMYFUNCTION("if(isblank(A1129),,split(A1129,""ー""))"),"40-49")</f>
        <v>40-49</v>
      </c>
      <c r="K1129" s="13" t="str">
        <f>IFERROR(__xludf.DUMMYFUNCTION("if(isblank(B1129),,split(B1129,""ー""))"),"40-92")</f>
        <v>40-92</v>
      </c>
    </row>
    <row r="1130">
      <c r="A1130" s="15" t="s">
        <v>2009</v>
      </c>
      <c r="B1130" s="16" t="s">
        <v>2018</v>
      </c>
      <c r="C1130" s="9"/>
      <c r="D1130" s="10" t="s">
        <v>2011</v>
      </c>
      <c r="E1130" s="10" t="s">
        <v>1878</v>
      </c>
      <c r="F1130" s="11" t="s">
        <v>2012</v>
      </c>
      <c r="G1130" s="11" t="s">
        <v>2019</v>
      </c>
      <c r="I1130" s="13" t="str">
        <f>IFERROR(__xludf.DUMMYFUNCTION("if(isblank(A1130),,split(A1130,""ー""))"),"40-49")</f>
        <v>40-49</v>
      </c>
      <c r="K1130" s="13" t="str">
        <f>IFERROR(__xludf.DUMMYFUNCTION("if(isblank(B1130),,split(B1130,""ー""))"),"40-93")</f>
        <v>40-93</v>
      </c>
    </row>
    <row r="1131">
      <c r="A1131" s="15" t="s">
        <v>2009</v>
      </c>
      <c r="B1131" s="16" t="s">
        <v>2020</v>
      </c>
      <c r="C1131" s="9"/>
      <c r="D1131" s="10" t="s">
        <v>2011</v>
      </c>
      <c r="E1131" s="10" t="s">
        <v>1878</v>
      </c>
      <c r="F1131" s="11" t="s">
        <v>2012</v>
      </c>
      <c r="G1131" s="11" t="s">
        <v>2021</v>
      </c>
      <c r="I1131" s="13" t="str">
        <f>IFERROR(__xludf.DUMMYFUNCTION("if(isblank(A1131),,split(A1131,""ー""))"),"40-49")</f>
        <v>40-49</v>
      </c>
      <c r="K1131" s="13" t="str">
        <f>IFERROR(__xludf.DUMMYFUNCTION("if(isblank(B1131),,split(B1131,""ー""))"),"40-94")</f>
        <v>40-94</v>
      </c>
    </row>
    <row r="1132">
      <c r="A1132" s="15" t="s">
        <v>2009</v>
      </c>
      <c r="B1132" s="16" t="s">
        <v>2022</v>
      </c>
      <c r="C1132" s="9"/>
      <c r="D1132" s="10" t="s">
        <v>2011</v>
      </c>
      <c r="E1132" s="10" t="s">
        <v>1878</v>
      </c>
      <c r="F1132" s="11" t="s">
        <v>2012</v>
      </c>
      <c r="G1132" s="11" t="s">
        <v>2023</v>
      </c>
      <c r="I1132" s="13" t="str">
        <f>IFERROR(__xludf.DUMMYFUNCTION("if(isblank(A1132),,split(A1132,""ー""))"),"40-49")</f>
        <v>40-49</v>
      </c>
      <c r="K1132" s="13" t="str">
        <f>IFERROR(__xludf.DUMMYFUNCTION("if(isblank(B1132),,split(B1132,""ー""))"),"40-95")</f>
        <v>40-95</v>
      </c>
    </row>
    <row r="1133">
      <c r="A1133" s="15" t="s">
        <v>2009</v>
      </c>
      <c r="B1133" s="16" t="s">
        <v>2024</v>
      </c>
      <c r="C1133" s="9"/>
      <c r="D1133" s="10" t="s">
        <v>2025</v>
      </c>
      <c r="E1133" s="10" t="s">
        <v>1878</v>
      </c>
      <c r="F1133" s="11" t="s">
        <v>2012</v>
      </c>
      <c r="G1133" s="11" t="s">
        <v>2026</v>
      </c>
      <c r="I1133" s="13" t="str">
        <f>IFERROR(__xludf.DUMMYFUNCTION("if(isblank(A1133),,split(A1133,""ー""))"),"40-49")</f>
        <v>40-49</v>
      </c>
      <c r="K1133" s="13" t="str">
        <f>IFERROR(__xludf.DUMMYFUNCTION("if(isblank(B1133),,split(B1133,""ー""))"),"40-96")</f>
        <v>40-96</v>
      </c>
    </row>
    <row r="1134">
      <c r="A1134" s="15" t="s">
        <v>2009</v>
      </c>
      <c r="B1134" s="16" t="s">
        <v>2027</v>
      </c>
      <c r="C1134" s="9"/>
      <c r="D1134" s="10" t="s">
        <v>2025</v>
      </c>
      <c r="E1134" s="10" t="s">
        <v>1878</v>
      </c>
      <c r="F1134" s="11" t="s">
        <v>2012</v>
      </c>
      <c r="G1134" s="11" t="s">
        <v>2028</v>
      </c>
      <c r="I1134" s="13" t="str">
        <f>IFERROR(__xludf.DUMMYFUNCTION("if(isblank(A1134),,split(A1134,""ー""))"),"40-49")</f>
        <v>40-49</v>
      </c>
      <c r="K1134" s="13" t="str">
        <f>IFERROR(__xludf.DUMMYFUNCTION("if(isblank(B1134),,split(B1134,""ー""))"),"40-97")</f>
        <v>40-97</v>
      </c>
    </row>
    <row r="1135">
      <c r="A1135" s="15" t="s">
        <v>2029</v>
      </c>
      <c r="B1135" s="16" t="s">
        <v>1932</v>
      </c>
      <c r="C1135" s="9"/>
      <c r="D1135" s="10" t="s">
        <v>2030</v>
      </c>
      <c r="E1135" s="10" t="s">
        <v>1878</v>
      </c>
      <c r="F1135" s="11" t="s">
        <v>2031</v>
      </c>
      <c r="G1135" s="12" t="s">
        <v>1884</v>
      </c>
      <c r="I1135" s="13" t="str">
        <f>IFERROR(__xludf.DUMMYFUNCTION("if(isblank(A1135),,split(A1135,""ー""))"),"40-50")</f>
        <v>40-50</v>
      </c>
      <c r="K1135" s="13" t="str">
        <f>IFERROR(__xludf.DUMMYFUNCTION("if(isblank(B1135),,split(B1135,""ー""))"),"40-121")</f>
        <v>40-121</v>
      </c>
    </row>
    <row r="1136">
      <c r="A1136" s="15" t="s">
        <v>2029</v>
      </c>
      <c r="B1136" s="16" t="s">
        <v>1933</v>
      </c>
      <c r="C1136" s="9"/>
      <c r="D1136" s="10" t="s">
        <v>1200</v>
      </c>
      <c r="E1136" s="10" t="s">
        <v>1878</v>
      </c>
      <c r="F1136" s="11" t="s">
        <v>2031</v>
      </c>
      <c r="G1136" s="12" t="s">
        <v>1884</v>
      </c>
      <c r="I1136" s="13" t="str">
        <f>IFERROR(__xludf.DUMMYFUNCTION("if(isblank(A1136),,split(A1136,""ー""))"),"40-50")</f>
        <v>40-50</v>
      </c>
      <c r="K1136" s="13" t="str">
        <f>IFERROR(__xludf.DUMMYFUNCTION("if(isblank(B1136),,split(B1136,""ー""))"),"40-122")</f>
        <v>40-122</v>
      </c>
    </row>
    <row r="1137">
      <c r="A1137" s="15" t="s">
        <v>2032</v>
      </c>
      <c r="B1137" s="16" t="s">
        <v>2033</v>
      </c>
      <c r="C1137" s="9"/>
      <c r="D1137" s="10" t="s">
        <v>2034</v>
      </c>
      <c r="E1137" s="10" t="s">
        <v>1878</v>
      </c>
      <c r="F1137" s="11" t="s">
        <v>2035</v>
      </c>
      <c r="G1137" s="12" t="s">
        <v>1884</v>
      </c>
      <c r="I1137" s="13" t="str">
        <f>IFERROR(__xludf.DUMMYFUNCTION("if(isblank(A1137),,split(A1137,""ー""))"),"40-70")</f>
        <v>40-70</v>
      </c>
      <c r="K1137" s="13" t="str">
        <f>IFERROR(__xludf.DUMMYFUNCTION("if(isblank(B1137),,split(B1137,""ー""))"),"40-101")</f>
        <v>40-101</v>
      </c>
    </row>
    <row r="1138">
      <c r="A1138" s="15" t="s">
        <v>2032</v>
      </c>
      <c r="B1138" s="16" t="s">
        <v>2036</v>
      </c>
      <c r="C1138" s="9"/>
      <c r="D1138" s="10" t="s">
        <v>2034</v>
      </c>
      <c r="E1138" s="10" t="s">
        <v>1878</v>
      </c>
      <c r="F1138" s="11" t="s">
        <v>2035</v>
      </c>
      <c r="G1138" s="12" t="s">
        <v>1884</v>
      </c>
      <c r="I1138" s="13" t="str">
        <f>IFERROR(__xludf.DUMMYFUNCTION("if(isblank(A1138),,split(A1138,""ー""))"),"40-70")</f>
        <v>40-70</v>
      </c>
      <c r="K1138" s="13" t="str">
        <f>IFERROR(__xludf.DUMMYFUNCTION("if(isblank(B1138),,split(B1138,""ー""))"),"40-102")</f>
        <v>40-102</v>
      </c>
    </row>
    <row r="1139">
      <c r="A1139" s="15" t="s">
        <v>2037</v>
      </c>
      <c r="B1139" s="16" t="s">
        <v>2038</v>
      </c>
      <c r="C1139" s="9"/>
      <c r="D1139" s="10" t="s">
        <v>44</v>
      </c>
      <c r="E1139" s="10" t="s">
        <v>1878</v>
      </c>
      <c r="F1139" s="11" t="s">
        <v>2039</v>
      </c>
      <c r="G1139" s="12" t="s">
        <v>1884</v>
      </c>
      <c r="I1139" s="13" t="str">
        <f>IFERROR(__xludf.DUMMYFUNCTION("if(isblank(A1139),,split(A1139,""ー""))"),"40-74")</f>
        <v>40-74</v>
      </c>
      <c r="K1139" s="13" t="str">
        <f>IFERROR(__xludf.DUMMYFUNCTION("if(isblank(B1139),,split(B1139,""ー""))"),"40-75")</f>
        <v>40-75</v>
      </c>
    </row>
    <row r="1140">
      <c r="A1140" s="15" t="s">
        <v>1968</v>
      </c>
      <c r="B1140" s="16" t="s">
        <v>1971</v>
      </c>
      <c r="C1140" s="9"/>
      <c r="D1140" s="10" t="s">
        <v>2040</v>
      </c>
      <c r="E1140" s="10" t="s">
        <v>1878</v>
      </c>
      <c r="F1140" s="11" t="s">
        <v>1970</v>
      </c>
      <c r="G1140" s="12" t="s">
        <v>1884</v>
      </c>
      <c r="I1140" s="13" t="str">
        <f>IFERROR(__xludf.DUMMYFUNCTION("if(isblank(A1140),,split(A1140,""ー""))"),"40-76")</f>
        <v>40-76</v>
      </c>
      <c r="K1140" s="13" t="str">
        <f>IFERROR(__xludf.DUMMYFUNCTION("if(isblank(B1140),,split(B1140,""ー""))"),"40-77")</f>
        <v>40-77</v>
      </c>
    </row>
    <row r="1141">
      <c r="A1141" s="15" t="s">
        <v>1971</v>
      </c>
      <c r="B1141" s="16" t="s">
        <v>1929</v>
      </c>
      <c r="C1141" s="13"/>
      <c r="D1141" s="6" t="s">
        <v>1930</v>
      </c>
      <c r="E1141" s="10" t="s">
        <v>1878</v>
      </c>
      <c r="F1141" s="11" t="s">
        <v>1931</v>
      </c>
      <c r="G1141" s="44" t="s">
        <v>1884</v>
      </c>
      <c r="I1141" s="13" t="str">
        <f>IFERROR(__xludf.DUMMYFUNCTION("if(isblank(A1141),,split(A1141,""ー""))"),"40-77")</f>
        <v>40-77</v>
      </c>
      <c r="K1141" s="13" t="str">
        <f>IFERROR(__xludf.DUMMYFUNCTION("if(isblank(B1141),,split(B1141,""ー""))"),"40-175")</f>
        <v>40-175</v>
      </c>
    </row>
    <row r="1142">
      <c r="A1142" s="15" t="s">
        <v>2041</v>
      </c>
      <c r="B1142" s="16" t="s">
        <v>2042</v>
      </c>
      <c r="C1142" s="9"/>
      <c r="D1142" s="10" t="s">
        <v>1200</v>
      </c>
      <c r="E1142" s="10" t="s">
        <v>1878</v>
      </c>
      <c r="F1142" s="11" t="s">
        <v>2043</v>
      </c>
      <c r="G1142" s="12" t="s">
        <v>1884</v>
      </c>
      <c r="I1142" s="13" t="str">
        <f>IFERROR(__xludf.DUMMYFUNCTION("if(isblank(A1142),,split(A1142,""ー""))"),"40-78")</f>
        <v>40-78</v>
      </c>
      <c r="K1142" s="13" t="str">
        <f>IFERROR(__xludf.DUMMYFUNCTION("if(isblank(B1142),,split(B1142,""ー""))"),"40-120")</f>
        <v>40-120</v>
      </c>
    </row>
    <row r="1143">
      <c r="A1143" s="15" t="s">
        <v>2044</v>
      </c>
      <c r="B1143" s="16" t="s">
        <v>2045</v>
      </c>
      <c r="C1143" s="9"/>
      <c r="D1143" s="10" t="s">
        <v>308</v>
      </c>
      <c r="E1143" s="10" t="s">
        <v>1878</v>
      </c>
      <c r="F1143" s="11" t="s">
        <v>2046</v>
      </c>
      <c r="G1143" s="12" t="s">
        <v>1880</v>
      </c>
      <c r="I1143" s="13" t="str">
        <f>IFERROR(__xludf.DUMMYFUNCTION("if(isblank(A1143),,split(A1143,""ー""))"),"40-8")</f>
        <v>40-8</v>
      </c>
      <c r="K1143" s="13" t="str">
        <f>IFERROR(__xludf.DUMMYFUNCTION("if(isblank(B1143),,split(B1143,""ー""))"),"40-9")</f>
        <v>40-9</v>
      </c>
    </row>
    <row r="1144">
      <c r="A1144" s="15" t="s">
        <v>2047</v>
      </c>
      <c r="B1144" s="16" t="s">
        <v>2048</v>
      </c>
      <c r="C1144" s="9"/>
      <c r="D1144" s="10" t="s">
        <v>36</v>
      </c>
      <c r="E1144" s="10" t="s">
        <v>1878</v>
      </c>
      <c r="F1144" s="11"/>
      <c r="G1144" s="12" t="s">
        <v>1884</v>
      </c>
      <c r="I1144" s="13" t="str">
        <f>IFERROR(__xludf.DUMMYFUNCTION("if(isblank(A1144),,split(A1144,""ー""))"),"40-86")</f>
        <v>40-86</v>
      </c>
      <c r="K1144" s="13" t="str">
        <f>IFERROR(__xludf.DUMMYFUNCTION("if(isblank(B1144),,split(B1144,""ー""))"),"40-30?")</f>
        <v>40-30?</v>
      </c>
    </row>
    <row r="1145">
      <c r="A1145" s="15" t="s">
        <v>2049</v>
      </c>
      <c r="B1145" s="16" t="s">
        <v>2048</v>
      </c>
      <c r="C1145" s="9"/>
      <c r="D1145" s="10" t="s">
        <v>36</v>
      </c>
      <c r="E1145" s="10" t="s">
        <v>1878</v>
      </c>
      <c r="F1145" s="11"/>
      <c r="G1145" s="12" t="s">
        <v>1884</v>
      </c>
      <c r="I1145" s="13" t="str">
        <f>IFERROR(__xludf.DUMMYFUNCTION("if(isblank(A1145),,split(A1145,""ー""))"),"40-87")</f>
        <v>40-87</v>
      </c>
      <c r="K1145" s="13" t="str">
        <f>IFERROR(__xludf.DUMMYFUNCTION("if(isblank(B1145),,split(B1145,""ー""))"),"40-30?")</f>
        <v>40-30?</v>
      </c>
    </row>
    <row r="1146">
      <c r="A1146" s="15" t="s">
        <v>2050</v>
      </c>
      <c r="B1146" s="16" t="s">
        <v>2051</v>
      </c>
      <c r="C1146" s="9"/>
      <c r="D1146" s="10" t="s">
        <v>36</v>
      </c>
      <c r="E1146" s="10" t="s">
        <v>1878</v>
      </c>
      <c r="F1146" s="11" t="s">
        <v>36</v>
      </c>
      <c r="G1146" s="12" t="s">
        <v>1884</v>
      </c>
      <c r="I1146" s="13" t="str">
        <f>IFERROR(__xludf.DUMMYFUNCTION("if(isblank(A1146),,split(A1146,""ー""))"),"40-88")</f>
        <v>40-88</v>
      </c>
      <c r="K1146" s="13" t="str">
        <f>IFERROR(__xludf.DUMMYFUNCTION("if(isblank(B1146),,split(B1146,""ー""))"),"40-132")</f>
        <v>40-132</v>
      </c>
    </row>
    <row r="1147">
      <c r="A1147" s="15" t="s">
        <v>2052</v>
      </c>
      <c r="B1147" s="16" t="s">
        <v>2053</v>
      </c>
      <c r="C1147" s="13"/>
      <c r="D1147" s="10" t="s">
        <v>1951</v>
      </c>
      <c r="E1147" s="10" t="s">
        <v>1878</v>
      </c>
      <c r="F1147" s="11" t="s">
        <v>1952</v>
      </c>
      <c r="G1147" s="44" t="s">
        <v>1884</v>
      </c>
      <c r="I1147" s="13" t="str">
        <f>IFERROR(__xludf.DUMMYFUNCTION("if(isblank(A1147),,split(A1147,""ー""))"),"40-89")</f>
        <v>40-89</v>
      </c>
      <c r="K1147" s="13" t="str">
        <f>IFERROR(__xludf.DUMMYFUNCTION("if(isblank(B1147),,split(B1147,""ー""))"),"40-174")</f>
        <v>40-174</v>
      </c>
    </row>
    <row r="1148">
      <c r="A1148" s="15" t="s">
        <v>2052</v>
      </c>
      <c r="B1148" s="16" t="s">
        <v>2054</v>
      </c>
      <c r="C1148" s="9"/>
      <c r="D1148" s="10" t="s">
        <v>36</v>
      </c>
      <c r="E1148" s="10" t="s">
        <v>1878</v>
      </c>
      <c r="F1148" s="11"/>
      <c r="G1148" s="12" t="s">
        <v>1884</v>
      </c>
      <c r="I1148" s="13" t="str">
        <f>IFERROR(__xludf.DUMMYFUNCTION("if(isblank(A1148),,split(A1148,""ー""))"),"40-89")</f>
        <v>40-89</v>
      </c>
      <c r="K1148" s="13" t="str">
        <f>IFERROR(__xludf.DUMMYFUNCTION("if(isblank(B1148),,split(B1148,""ー""))"),"40-48?")</f>
        <v>40-48?</v>
      </c>
    </row>
    <row r="1149">
      <c r="A1149" s="15" t="s">
        <v>2055</v>
      </c>
      <c r="B1149" s="16" t="s">
        <v>2056</v>
      </c>
      <c r="C1149" s="13"/>
      <c r="D1149" s="6" t="s">
        <v>2057</v>
      </c>
      <c r="E1149" s="10" t="s">
        <v>2058</v>
      </c>
      <c r="F1149" s="11" t="s">
        <v>36</v>
      </c>
      <c r="G1149" s="12" t="s">
        <v>2059</v>
      </c>
      <c r="I1149" s="13" t="str">
        <f>IFERROR(__xludf.DUMMYFUNCTION("if(isblank(A1149),,split(A1149,""ー""))"),"41-4")</f>
        <v>41-4</v>
      </c>
      <c r="K1149" s="13" t="str">
        <f>IFERROR(__xludf.DUMMYFUNCTION("if(isblank(B1149),,split(B1149,""ー""))"),"41-5")</f>
        <v>41-5</v>
      </c>
    </row>
    <row r="1150">
      <c r="A1150" s="15" t="s">
        <v>2060</v>
      </c>
      <c r="B1150" s="16" t="s">
        <v>2061</v>
      </c>
      <c r="C1150" s="13"/>
      <c r="D1150" s="6" t="s">
        <v>2057</v>
      </c>
      <c r="E1150" s="10" t="s">
        <v>2058</v>
      </c>
      <c r="F1150" s="11" t="s">
        <v>2062</v>
      </c>
      <c r="G1150" s="12" t="s">
        <v>2063</v>
      </c>
      <c r="I1150" s="13" t="str">
        <f>IFERROR(__xludf.DUMMYFUNCTION("if(isblank(A1150),,split(A1150,""ー""))"),"41-6")</f>
        <v>41-6</v>
      </c>
      <c r="K1150" s="13" t="str">
        <f>IFERROR(__xludf.DUMMYFUNCTION("if(isblank(B1150),,split(B1150,""ー""))"),"41-7")</f>
        <v>41-7</v>
      </c>
    </row>
    <row r="1151">
      <c r="A1151" s="15" t="s">
        <v>2060</v>
      </c>
      <c r="B1151" s="16" t="s">
        <v>2064</v>
      </c>
      <c r="C1151" s="13"/>
      <c r="D1151" s="6" t="s">
        <v>2065</v>
      </c>
      <c r="E1151" s="10" t="s">
        <v>2058</v>
      </c>
      <c r="F1151" s="11" t="s">
        <v>2062</v>
      </c>
      <c r="G1151" s="12" t="s">
        <v>2063</v>
      </c>
      <c r="I1151" s="13" t="str">
        <f>IFERROR(__xludf.DUMMYFUNCTION("if(isblank(A1151),,split(A1151,""ー""))"),"41-6")</f>
        <v>41-6</v>
      </c>
      <c r="K1151" s="13" t="str">
        <f>IFERROR(__xludf.DUMMYFUNCTION("if(isblank(B1151),,split(B1151,""ー""))"),"41-8")</f>
        <v>41-8</v>
      </c>
    </row>
    <row r="1152">
      <c r="A1152" s="15" t="s">
        <v>2066</v>
      </c>
      <c r="B1152" s="16" t="s">
        <v>2067</v>
      </c>
      <c r="C1152" s="13"/>
      <c r="D1152" s="6" t="s">
        <v>36</v>
      </c>
      <c r="E1152" s="10" t="s">
        <v>2068</v>
      </c>
      <c r="F1152" s="11" t="s">
        <v>36</v>
      </c>
      <c r="G1152" s="12" t="s">
        <v>2069</v>
      </c>
      <c r="I1152" s="13" t="str">
        <f>IFERROR(__xludf.DUMMYFUNCTION("if(isblank(A1152),,split(A1152,""ー""))"),"42-10")</f>
        <v>42-10</v>
      </c>
      <c r="K1152" s="13" t="str">
        <f>IFERROR(__xludf.DUMMYFUNCTION("if(isblank(B1152),,split(B1152,""ー""))"),"42-11")</f>
        <v>42-11</v>
      </c>
    </row>
    <row r="1153">
      <c r="A1153" s="15" t="s">
        <v>2070</v>
      </c>
      <c r="B1153" s="16" t="s">
        <v>2071</v>
      </c>
      <c r="C1153" s="9">
        <v>43911.0</v>
      </c>
      <c r="D1153" s="10" t="s">
        <v>931</v>
      </c>
      <c r="E1153" s="10" t="s">
        <v>2068</v>
      </c>
      <c r="F1153" s="11" t="s">
        <v>2072</v>
      </c>
      <c r="G1153" s="12" t="s">
        <v>2073</v>
      </c>
      <c r="I1153" s="13" t="str">
        <f>IFERROR(__xludf.DUMMYFUNCTION("if(isblank(A1153),,split(A1153,""ー""))"),"42-4")</f>
        <v>42-4</v>
      </c>
      <c r="K1153" s="13" t="str">
        <f>IFERROR(__xludf.DUMMYFUNCTION("if(isblank(B1153),,split(B1153,""ー""))"),"42-6")</f>
        <v>42-6</v>
      </c>
    </row>
    <row r="1154">
      <c r="A1154" s="15" t="s">
        <v>2074</v>
      </c>
      <c r="B1154" s="16" t="s">
        <v>2075</v>
      </c>
      <c r="C1154" s="9"/>
      <c r="D1154" s="10" t="s">
        <v>2076</v>
      </c>
      <c r="E1154" s="10" t="s">
        <v>1218</v>
      </c>
      <c r="F1154" s="11" t="s">
        <v>2077</v>
      </c>
      <c r="G1154" s="12" t="s">
        <v>2078</v>
      </c>
      <c r="I1154" s="13" t="str">
        <f>IFERROR(__xludf.DUMMYFUNCTION("if(isblank(A1154),,split(A1154,""ー""))"),"42-7")</f>
        <v>42-7</v>
      </c>
      <c r="K1154" s="13" t="str">
        <f>IFERROR(__xludf.DUMMYFUNCTION("if(isblank(B1154),,split(B1154,""ー""))"),"大阪のインタ-ンシップ先")</f>
        <v>大阪のインタ-ンシップ先</v>
      </c>
    </row>
    <row r="1155">
      <c r="A1155" s="15" t="s">
        <v>2079</v>
      </c>
      <c r="B1155" s="16" t="s">
        <v>2080</v>
      </c>
      <c r="C1155" s="9">
        <v>43913.0</v>
      </c>
      <c r="D1155" s="10" t="s">
        <v>1247</v>
      </c>
      <c r="E1155" s="10" t="s">
        <v>588</v>
      </c>
      <c r="F1155" s="11" t="s">
        <v>2081</v>
      </c>
      <c r="G1155" s="12" t="s">
        <v>2082</v>
      </c>
      <c r="I1155" s="13" t="str">
        <f>IFERROR(__xludf.DUMMYFUNCTION("if(isblank(A1155),,split(A1155,""ー""))"),"42-8")</f>
        <v>42-8</v>
      </c>
      <c r="K1155" s="13" t="str">
        <f>IFERROR(__xludf.DUMMYFUNCTION("if(isblank(B1155),,split(B1155,""ー""))"),"41-3")</f>
        <v>41-3</v>
      </c>
    </row>
    <row r="1156">
      <c r="A1156" s="15" t="s">
        <v>2083</v>
      </c>
      <c r="B1156" s="16" t="s">
        <v>2066</v>
      </c>
      <c r="C1156" s="13"/>
      <c r="D1156" s="6" t="s">
        <v>36</v>
      </c>
      <c r="E1156" s="10" t="s">
        <v>2068</v>
      </c>
      <c r="F1156" s="11" t="s">
        <v>36</v>
      </c>
      <c r="G1156" s="12" t="s">
        <v>2084</v>
      </c>
      <c r="I1156" s="13" t="str">
        <f>IFERROR(__xludf.DUMMYFUNCTION("if(isblank(A1156),,split(A1156,""ー""))"),"42-9")</f>
        <v>42-9</v>
      </c>
      <c r="K1156" s="13" t="str">
        <f>IFERROR(__xludf.DUMMYFUNCTION("if(isblank(B1156),,split(B1156,""ー""))"),"42-10")</f>
        <v>42-10</v>
      </c>
    </row>
    <row r="1157">
      <c r="A1157" s="15" t="s">
        <v>2085</v>
      </c>
      <c r="B1157" s="16" t="s">
        <v>2086</v>
      </c>
      <c r="C1157" s="9"/>
      <c r="D1157" s="10" t="s">
        <v>541</v>
      </c>
      <c r="E1157" s="10" t="s">
        <v>2087</v>
      </c>
      <c r="F1157" s="11" t="s">
        <v>2088</v>
      </c>
      <c r="G1157" s="12" t="s">
        <v>2089</v>
      </c>
      <c r="I1157" s="13" t="str">
        <f>IFERROR(__xludf.DUMMYFUNCTION("if(isblank(A1157),,split(A1157,""ー""))"),"43-12")</f>
        <v>43-12</v>
      </c>
      <c r="K1157" s="13" t="str">
        <f>IFERROR(__xludf.DUMMYFUNCTION("if(isblank(B1157),,split(B1157,""ー""))"),"43-14")</f>
        <v>43-14</v>
      </c>
    </row>
    <row r="1158">
      <c r="A1158" s="15" t="s">
        <v>2085</v>
      </c>
      <c r="B1158" s="16" t="s">
        <v>2090</v>
      </c>
      <c r="C1158" s="13"/>
      <c r="D1158" s="6" t="s">
        <v>44</v>
      </c>
      <c r="E1158" s="10" t="s">
        <v>2087</v>
      </c>
      <c r="F1158" s="11" t="s">
        <v>36</v>
      </c>
      <c r="G1158" s="12" t="s">
        <v>2091</v>
      </c>
      <c r="I1158" s="13" t="str">
        <f>IFERROR(__xludf.DUMMYFUNCTION("if(isblank(A1158),,split(A1158,""ー""))"),"43-12")</f>
        <v>43-12</v>
      </c>
      <c r="K1158" s="13" t="str">
        <f>IFERROR(__xludf.DUMMYFUNCTION("if(isblank(B1158),,split(B1158,""ー""))"),"43-16")</f>
        <v>43-16</v>
      </c>
    </row>
    <row r="1159">
      <c r="A1159" s="15" t="s">
        <v>2092</v>
      </c>
      <c r="B1159" s="16" t="s">
        <v>2093</v>
      </c>
      <c r="C1159" s="9"/>
      <c r="D1159" s="10" t="s">
        <v>308</v>
      </c>
      <c r="E1159" s="10" t="s">
        <v>2087</v>
      </c>
      <c r="F1159" s="11" t="s">
        <v>36</v>
      </c>
      <c r="G1159" s="12" t="s">
        <v>2094</v>
      </c>
      <c r="I1159" s="13" t="str">
        <f>IFERROR(__xludf.DUMMYFUNCTION("if(isblank(A1159),,split(A1159,""ー""))"),"43-19")</f>
        <v>43-19</v>
      </c>
      <c r="K1159" s="13" t="str">
        <f>IFERROR(__xludf.DUMMYFUNCTION("if(isblank(B1159),,split(B1159,""ー""))"),"43-20")</f>
        <v>43-20</v>
      </c>
    </row>
    <row r="1160">
      <c r="A1160" s="15" t="s">
        <v>2095</v>
      </c>
      <c r="B1160" s="16" t="s">
        <v>2096</v>
      </c>
      <c r="C1160" s="9"/>
      <c r="D1160" s="10" t="s">
        <v>360</v>
      </c>
      <c r="E1160" s="10" t="s">
        <v>2087</v>
      </c>
      <c r="F1160" s="11" t="s">
        <v>2097</v>
      </c>
      <c r="G1160" s="12" t="s">
        <v>2098</v>
      </c>
      <c r="I1160" s="13" t="str">
        <f>IFERROR(__xludf.DUMMYFUNCTION("if(isblank(A1160),,split(A1160,""ー""))"),"43-7")</f>
        <v>43-7</v>
      </c>
      <c r="K1160" s="13" t="str">
        <f>IFERROR(__xludf.DUMMYFUNCTION("if(isblank(B1160),,split(B1160,""ー""))"),"43-11")</f>
        <v>43-11</v>
      </c>
    </row>
    <row r="1161">
      <c r="A1161" s="15" t="s">
        <v>2099</v>
      </c>
      <c r="B1161" s="16" t="s">
        <v>2100</v>
      </c>
      <c r="C1161" s="9"/>
      <c r="D1161" s="10" t="s">
        <v>1566</v>
      </c>
      <c r="E1161" s="10" t="s">
        <v>2087</v>
      </c>
      <c r="F1161" s="11" t="s">
        <v>2101</v>
      </c>
      <c r="G1161" s="12" t="s">
        <v>2102</v>
      </c>
      <c r="I1161" s="13" t="str">
        <f>IFERROR(__xludf.DUMMYFUNCTION("if(isblank(A1161),,split(A1161,""ー""))"),"43-8")</f>
        <v>43-8</v>
      </c>
      <c r="K1161" s="13" t="str">
        <f>IFERROR(__xludf.DUMMYFUNCTION("if(isblank(B1161),,split(B1161,""ー""))"),"43-10")</f>
        <v>43-10</v>
      </c>
    </row>
    <row r="1162">
      <c r="A1162" s="15" t="s">
        <v>2099</v>
      </c>
      <c r="B1162" s="16" t="s">
        <v>2103</v>
      </c>
      <c r="C1162" s="9"/>
      <c r="D1162" s="10" t="s">
        <v>1566</v>
      </c>
      <c r="E1162" s="10" t="s">
        <v>2087</v>
      </c>
      <c r="F1162" s="11" t="s">
        <v>2101</v>
      </c>
      <c r="G1162" s="12" t="s">
        <v>2104</v>
      </c>
      <c r="I1162" s="13" t="str">
        <f>IFERROR(__xludf.DUMMYFUNCTION("if(isblank(A1162),,split(A1162,""ー""))"),"43-8")</f>
        <v>43-8</v>
      </c>
      <c r="K1162" s="13" t="str">
        <f>IFERROR(__xludf.DUMMYFUNCTION("if(isblank(B1162),,split(B1162,""ー""))"),"43-9")</f>
        <v>43-9</v>
      </c>
    </row>
    <row r="1163">
      <c r="A1163" s="15" t="s">
        <v>2103</v>
      </c>
      <c r="B1163" s="16" t="s">
        <v>2096</v>
      </c>
      <c r="C1163" s="9"/>
      <c r="D1163" s="10" t="s">
        <v>44</v>
      </c>
      <c r="E1163" s="10" t="s">
        <v>2087</v>
      </c>
      <c r="F1163" s="11" t="s">
        <v>2097</v>
      </c>
      <c r="G1163" s="12" t="s">
        <v>2098</v>
      </c>
      <c r="I1163" s="13" t="str">
        <f>IFERROR(__xludf.DUMMYFUNCTION("if(isblank(A1163),,split(A1163,""ー""))"),"43-9")</f>
        <v>43-9</v>
      </c>
      <c r="K1163" s="13" t="str">
        <f>IFERROR(__xludf.DUMMYFUNCTION("if(isblank(B1163),,split(B1163,""ー""))"),"43-11")</f>
        <v>43-11</v>
      </c>
    </row>
    <row r="1164">
      <c r="A1164" s="15" t="s">
        <v>2105</v>
      </c>
      <c r="B1164" s="16" t="s">
        <v>2106</v>
      </c>
      <c r="C1164" s="9"/>
      <c r="D1164" s="10" t="s">
        <v>417</v>
      </c>
      <c r="E1164" s="10" t="s">
        <v>66</v>
      </c>
      <c r="F1164" s="11" t="s">
        <v>2107</v>
      </c>
      <c r="G1164" s="12" t="s">
        <v>2108</v>
      </c>
      <c r="I1164" s="13" t="str">
        <f>IFERROR(__xludf.DUMMYFUNCTION("if(isblank(A1164),,split(A1164,""ー""))"),"44-10")</f>
        <v>44-10</v>
      </c>
      <c r="K1164" s="13" t="str">
        <f>IFERROR(__xludf.DUMMYFUNCTION("if(isblank(B1164),,split(B1164,""ー""))"),"44-20")</f>
        <v>44-20</v>
      </c>
    </row>
    <row r="1165">
      <c r="A1165" s="15" t="s">
        <v>2109</v>
      </c>
      <c r="B1165" s="16" t="s">
        <v>2110</v>
      </c>
      <c r="C1165" s="9"/>
      <c r="D1165" s="10" t="s">
        <v>36</v>
      </c>
      <c r="E1165" s="10" t="s">
        <v>66</v>
      </c>
      <c r="F1165" s="11" t="s">
        <v>36</v>
      </c>
      <c r="G1165" s="12" t="s">
        <v>2111</v>
      </c>
      <c r="I1165" s="13" t="str">
        <f>IFERROR(__xludf.DUMMYFUNCTION("if(isblank(A1165),,split(A1165,""ー""))"),"44-14")</f>
        <v>44-14</v>
      </c>
      <c r="K1165" s="13" t="str">
        <f>IFERROR(__xludf.DUMMYFUNCTION("if(isblank(B1165),,split(B1165,""ー""))"),"44-22")</f>
        <v>44-22</v>
      </c>
    </row>
    <row r="1166">
      <c r="A1166" s="15" t="s">
        <v>2112</v>
      </c>
      <c r="B1166" s="16" t="s">
        <v>2113</v>
      </c>
      <c r="C1166" s="9"/>
      <c r="D1166" s="10" t="s">
        <v>2114</v>
      </c>
      <c r="E1166" s="10" t="s">
        <v>66</v>
      </c>
      <c r="F1166" s="11" t="s">
        <v>2107</v>
      </c>
      <c r="G1166" s="12" t="s">
        <v>2115</v>
      </c>
      <c r="I1166" s="13" t="str">
        <f>IFERROR(__xludf.DUMMYFUNCTION("if(isblank(A1166),,split(A1166,""ー""))"),"44-15または44-17")</f>
        <v>44-15または44-17</v>
      </c>
      <c r="K1166" s="13" t="str">
        <f>IFERROR(__xludf.DUMMYFUNCTION("if(isblank(B1166),,split(B1166,""ー""))"),"44-2")</f>
        <v>44-2</v>
      </c>
    </row>
    <row r="1167">
      <c r="A1167" s="15" t="s">
        <v>2112</v>
      </c>
      <c r="B1167" s="16" t="s">
        <v>2116</v>
      </c>
      <c r="C1167" s="9"/>
      <c r="D1167" s="10" t="s">
        <v>417</v>
      </c>
      <c r="E1167" s="10" t="s">
        <v>66</v>
      </c>
      <c r="F1167" s="11" t="s">
        <v>2117</v>
      </c>
      <c r="G1167" s="12" t="s">
        <v>2118</v>
      </c>
      <c r="I1167" s="13" t="str">
        <f>IFERROR(__xludf.DUMMYFUNCTION("if(isblank(A1167),,split(A1167,""ー""))"),"44-15または44-17")</f>
        <v>44-15または44-17</v>
      </c>
      <c r="K1167" s="13" t="str">
        <f>IFERROR(__xludf.DUMMYFUNCTION("if(isblank(B1167),,split(B1167,""ー""))"),"センタ-から転院後に感染が判明した８０代男性")</f>
        <v>センタ-から転院後に感染が判明した８０代男性</v>
      </c>
    </row>
    <row r="1168">
      <c r="A1168" s="15" t="s">
        <v>2113</v>
      </c>
      <c r="B1168" s="16" t="s">
        <v>2109</v>
      </c>
      <c r="C1168" s="9"/>
      <c r="D1168" s="10" t="s">
        <v>417</v>
      </c>
      <c r="E1168" s="10" t="s">
        <v>66</v>
      </c>
      <c r="F1168" s="11" t="s">
        <v>2107</v>
      </c>
      <c r="G1168" s="12" t="s">
        <v>2115</v>
      </c>
      <c r="I1168" s="13" t="str">
        <f>IFERROR(__xludf.DUMMYFUNCTION("if(isblank(A1168),,split(A1168,""ー""))"),"44-2")</f>
        <v>44-2</v>
      </c>
      <c r="K1168" s="13" t="str">
        <f>IFERROR(__xludf.DUMMYFUNCTION("if(isblank(B1168),,split(B1168,""ー""))"),"44-14")</f>
        <v>44-14</v>
      </c>
    </row>
    <row r="1169">
      <c r="A1169" s="15" t="s">
        <v>2113</v>
      </c>
      <c r="B1169" s="16" t="s">
        <v>2119</v>
      </c>
      <c r="C1169" s="9"/>
      <c r="D1169" s="10" t="s">
        <v>2120</v>
      </c>
      <c r="E1169" s="10" t="s">
        <v>66</v>
      </c>
      <c r="F1169" s="11" t="s">
        <v>2107</v>
      </c>
      <c r="G1169" s="12" t="s">
        <v>2115</v>
      </c>
      <c r="I1169" s="13" t="str">
        <f>IFERROR(__xludf.DUMMYFUNCTION("if(isblank(A1169),,split(A1169,""ー""))"),"44-2")</f>
        <v>44-2</v>
      </c>
      <c r="K1169" s="13" t="str">
        <f>IFERROR(__xludf.DUMMYFUNCTION("if(isblank(B1169),,split(B1169,""ー""))"),"44-16")</f>
        <v>44-16</v>
      </c>
    </row>
    <row r="1170">
      <c r="A1170" s="15" t="s">
        <v>2113</v>
      </c>
      <c r="B1170" s="16" t="s">
        <v>2121</v>
      </c>
      <c r="C1170" s="9"/>
      <c r="D1170" s="10" t="s">
        <v>417</v>
      </c>
      <c r="E1170" s="10" t="s">
        <v>66</v>
      </c>
      <c r="F1170" s="11" t="s">
        <v>2107</v>
      </c>
      <c r="G1170" s="12" t="s">
        <v>2115</v>
      </c>
      <c r="I1170" s="13" t="str">
        <f>IFERROR(__xludf.DUMMYFUNCTION("if(isblank(A1170),,split(A1170,""ー""))"),"44-2")</f>
        <v>44-2</v>
      </c>
      <c r="K1170" s="13" t="str">
        <f>IFERROR(__xludf.DUMMYFUNCTION("if(isblank(B1170),,split(B1170,""ー""))"),"44-21")</f>
        <v>44-21</v>
      </c>
    </row>
    <row r="1171">
      <c r="A1171" s="15" t="s">
        <v>2113</v>
      </c>
      <c r="B1171" s="16" t="s">
        <v>2122</v>
      </c>
      <c r="C1171" s="9"/>
      <c r="D1171" s="10" t="s">
        <v>44</v>
      </c>
      <c r="E1171" s="10" t="s">
        <v>66</v>
      </c>
      <c r="F1171" s="11" t="s">
        <v>36</v>
      </c>
      <c r="G1171" s="12" t="s">
        <v>2123</v>
      </c>
      <c r="I1171" s="13" t="str">
        <f>IFERROR(__xludf.DUMMYFUNCTION("if(isblank(A1171),,split(A1171,""ー""))"),"44-2")</f>
        <v>44-2</v>
      </c>
      <c r="K1171" s="13" t="str">
        <f>IFERROR(__xludf.DUMMYFUNCTION("if(isblank(B1171),,split(B1171,""ー""))"),"44-3")</f>
        <v>44-3</v>
      </c>
      <c r="AA1171" s="4"/>
    </row>
    <row r="1172">
      <c r="A1172" s="15" t="s">
        <v>2113</v>
      </c>
      <c r="B1172" s="16" t="s">
        <v>2124</v>
      </c>
      <c r="C1172" s="9"/>
      <c r="D1172" s="10" t="s">
        <v>1672</v>
      </c>
      <c r="E1172" s="10" t="s">
        <v>66</v>
      </c>
      <c r="F1172" s="11" t="s">
        <v>2107</v>
      </c>
      <c r="G1172" s="12" t="s">
        <v>2125</v>
      </c>
      <c r="I1172" s="13" t="str">
        <f>IFERROR(__xludf.DUMMYFUNCTION("if(isblank(A1172),,split(A1172,""ー""))"),"44-2")</f>
        <v>44-2</v>
      </c>
      <c r="K1172" s="13" t="str">
        <f>IFERROR(__xludf.DUMMYFUNCTION("if(isblank(B1172),,split(B1172,""ー""))"),"44-4")</f>
        <v>44-4</v>
      </c>
      <c r="AA1172" s="4"/>
    </row>
    <row r="1173">
      <c r="A1173" s="15" t="s">
        <v>2113</v>
      </c>
      <c r="B1173" s="16" t="s">
        <v>2126</v>
      </c>
      <c r="C1173" s="9"/>
      <c r="D1173" s="10" t="s">
        <v>1672</v>
      </c>
      <c r="E1173" s="10" t="s">
        <v>66</v>
      </c>
      <c r="F1173" s="11" t="s">
        <v>2107</v>
      </c>
      <c r="G1173" s="12" t="s">
        <v>2125</v>
      </c>
      <c r="I1173" s="13" t="str">
        <f>IFERROR(__xludf.DUMMYFUNCTION("if(isblank(A1173),,split(A1173,""ー""))"),"44-2")</f>
        <v>44-2</v>
      </c>
      <c r="K1173" s="13" t="str">
        <f>IFERROR(__xludf.DUMMYFUNCTION("if(isblank(B1173),,split(B1173,""ー""))"),"44-5")</f>
        <v>44-5</v>
      </c>
      <c r="AA1173" s="4"/>
    </row>
    <row r="1174">
      <c r="A1174" s="15" t="s">
        <v>2113</v>
      </c>
      <c r="B1174" s="16" t="s">
        <v>2127</v>
      </c>
      <c r="C1174" s="9"/>
      <c r="D1174" s="10" t="s">
        <v>2114</v>
      </c>
      <c r="E1174" s="10" t="s">
        <v>66</v>
      </c>
      <c r="F1174" s="11" t="s">
        <v>2107</v>
      </c>
      <c r="G1174" s="12" t="s">
        <v>2125</v>
      </c>
      <c r="I1174" s="13" t="str">
        <f>IFERROR(__xludf.DUMMYFUNCTION("if(isblank(A1174),,split(A1174,""ー""))"),"44-2")</f>
        <v>44-2</v>
      </c>
      <c r="K1174" s="13" t="str">
        <f>IFERROR(__xludf.DUMMYFUNCTION("if(isblank(B1174),,split(B1174,""ー""))"),"44-6")</f>
        <v>44-6</v>
      </c>
      <c r="AA1174" s="4"/>
    </row>
    <row r="1175">
      <c r="A1175" s="15" t="s">
        <v>2113</v>
      </c>
      <c r="B1175" s="16" t="s">
        <v>2128</v>
      </c>
      <c r="C1175" s="9"/>
      <c r="D1175" s="10" t="s">
        <v>2114</v>
      </c>
      <c r="E1175" s="10" t="s">
        <v>66</v>
      </c>
      <c r="F1175" s="11" t="s">
        <v>2107</v>
      </c>
      <c r="G1175" s="12" t="s">
        <v>2125</v>
      </c>
      <c r="I1175" s="13" t="str">
        <f>IFERROR(__xludf.DUMMYFUNCTION("if(isblank(A1175),,split(A1175,""ー""))"),"44-2")</f>
        <v>44-2</v>
      </c>
      <c r="K1175" s="13" t="str">
        <f>IFERROR(__xludf.DUMMYFUNCTION("if(isblank(B1175),,split(B1175,""ー""))"),"44-7")</f>
        <v>44-7</v>
      </c>
      <c r="AA1175" s="4"/>
    </row>
    <row r="1176">
      <c r="A1176" s="15" t="s">
        <v>2113</v>
      </c>
      <c r="B1176" s="16" t="s">
        <v>2129</v>
      </c>
      <c r="C1176" s="9"/>
      <c r="D1176" s="10" t="s">
        <v>2120</v>
      </c>
      <c r="E1176" s="10" t="s">
        <v>66</v>
      </c>
      <c r="F1176" s="11" t="s">
        <v>2107</v>
      </c>
      <c r="G1176" s="12" t="s">
        <v>2125</v>
      </c>
      <c r="I1176" s="13" t="str">
        <f>IFERROR(__xludf.DUMMYFUNCTION("if(isblank(A1176),,split(A1176,""ー""))"),"44-2")</f>
        <v>44-2</v>
      </c>
      <c r="K1176" s="13" t="str">
        <f>IFERROR(__xludf.DUMMYFUNCTION("if(isblank(B1176),,split(B1176,""ー""))"),"44-8")</f>
        <v>44-8</v>
      </c>
      <c r="AA1176" s="4"/>
    </row>
    <row r="1177">
      <c r="A1177" s="15" t="s">
        <v>2130</v>
      </c>
      <c r="B1177" s="16" t="s">
        <v>2044</v>
      </c>
      <c r="C1177" s="9"/>
      <c r="D1177" s="10" t="s">
        <v>417</v>
      </c>
      <c r="E1177" s="10" t="s">
        <v>66</v>
      </c>
      <c r="F1177" s="11" t="s">
        <v>2107</v>
      </c>
      <c r="G1177" s="12" t="s">
        <v>2123</v>
      </c>
      <c r="I1177" s="13" t="str">
        <f>IFERROR(__xludf.DUMMYFUNCTION("if(isblank(A1177),,split(A1177,""ー""))"),"44-24")</f>
        <v>44-24</v>
      </c>
      <c r="K1177" s="13" t="str">
        <f>IFERROR(__xludf.DUMMYFUNCTION("if(isblank(B1177),,split(B1177,""ー""))"),"40-8")</f>
        <v>40-8</v>
      </c>
      <c r="AA1177" s="4"/>
    </row>
    <row r="1178">
      <c r="A1178" s="15" t="s">
        <v>2131</v>
      </c>
      <c r="B1178" s="16" t="s">
        <v>2044</v>
      </c>
      <c r="C1178" s="9"/>
      <c r="D1178" s="10" t="s">
        <v>417</v>
      </c>
      <c r="E1178" s="10" t="s">
        <v>66</v>
      </c>
      <c r="F1178" s="11" t="s">
        <v>2107</v>
      </c>
      <c r="G1178" s="12" t="s">
        <v>2123</v>
      </c>
      <c r="I1178" s="13" t="str">
        <f>IFERROR(__xludf.DUMMYFUNCTION("if(isblank(A1178),,split(A1178,""ー""))"),"44-25")</f>
        <v>44-25</v>
      </c>
      <c r="K1178" s="13" t="str">
        <f>IFERROR(__xludf.DUMMYFUNCTION("if(isblank(B1178),,split(B1178,""ー""))"),"40-8")</f>
        <v>40-8</v>
      </c>
      <c r="Y1178" s="4"/>
      <c r="Z1178" s="4"/>
      <c r="AA1178" s="4"/>
    </row>
    <row r="1179">
      <c r="A1179" s="15" t="s">
        <v>2132</v>
      </c>
      <c r="B1179" s="16" t="s">
        <v>2133</v>
      </c>
      <c r="C1179" s="9"/>
      <c r="D1179" s="10" t="s">
        <v>2134</v>
      </c>
      <c r="E1179" s="10" t="s">
        <v>66</v>
      </c>
      <c r="F1179" s="11" t="s">
        <v>36</v>
      </c>
      <c r="G1179" s="12" t="s">
        <v>2135</v>
      </c>
      <c r="I1179" s="13" t="str">
        <f>IFERROR(__xludf.DUMMYFUNCTION("if(isblank(A1179),,split(A1179,""ー""))"),"44-27")</f>
        <v>44-27</v>
      </c>
      <c r="K1179" s="13" t="str">
        <f>IFERROR(__xludf.DUMMYFUNCTION("if(isblank(B1179),,split(B1179,""ー""))"),"44-31")</f>
        <v>44-31</v>
      </c>
      <c r="AA1179" s="4"/>
    </row>
    <row r="1180">
      <c r="A1180" s="15" t="s">
        <v>2136</v>
      </c>
      <c r="B1180" s="16" t="s">
        <v>2137</v>
      </c>
      <c r="C1180" s="9"/>
      <c r="D1180" s="10" t="s">
        <v>2138</v>
      </c>
      <c r="E1180" s="10" t="s">
        <v>66</v>
      </c>
      <c r="F1180" s="11" t="s">
        <v>36</v>
      </c>
      <c r="G1180" s="12" t="s">
        <v>2139</v>
      </c>
      <c r="I1180" s="13" t="str">
        <f>IFERROR(__xludf.DUMMYFUNCTION("if(isblank(A1180),,split(A1180,""ー""))"),"44-30")</f>
        <v>44-30</v>
      </c>
      <c r="K1180" s="13" t="str">
        <f>IFERROR(__xludf.DUMMYFUNCTION("if(isblank(B1180),,split(B1180,""ー""))"),"44-32")</f>
        <v>44-32</v>
      </c>
      <c r="AA1180" s="4"/>
    </row>
    <row r="1181">
      <c r="A1181" s="15" t="s">
        <v>2128</v>
      </c>
      <c r="B1181" s="16" t="s">
        <v>2140</v>
      </c>
      <c r="C1181" s="9"/>
      <c r="D1181" s="10" t="s">
        <v>2120</v>
      </c>
      <c r="E1181" s="10" t="s">
        <v>66</v>
      </c>
      <c r="F1181" s="11" t="s">
        <v>2107</v>
      </c>
      <c r="G1181" s="12" t="s">
        <v>2141</v>
      </c>
      <c r="I1181" s="13" t="str">
        <f>IFERROR(__xludf.DUMMYFUNCTION("if(isblank(A1181),,split(A1181,""ー""))"),"44-7")</f>
        <v>44-7</v>
      </c>
      <c r="K1181" s="13" t="str">
        <f>IFERROR(__xludf.DUMMYFUNCTION("if(isblank(B1181),,split(B1181,""ー""))"),"44-18")</f>
        <v>44-18</v>
      </c>
      <c r="AA1181" s="4"/>
    </row>
    <row r="1182">
      <c r="A1182" s="15" t="s">
        <v>2128</v>
      </c>
      <c r="B1182" s="16" t="s">
        <v>2142</v>
      </c>
      <c r="C1182" s="9"/>
      <c r="D1182" s="10" t="s">
        <v>2120</v>
      </c>
      <c r="E1182" s="10" t="s">
        <v>66</v>
      </c>
      <c r="F1182" s="11" t="s">
        <v>2107</v>
      </c>
      <c r="G1182" s="12" t="s">
        <v>2141</v>
      </c>
      <c r="I1182" s="13" t="str">
        <f>IFERROR(__xludf.DUMMYFUNCTION("if(isblank(A1182),,split(A1182,""ー""))"),"44-7")</f>
        <v>44-7</v>
      </c>
      <c r="K1182" s="13" t="str">
        <f>IFERROR(__xludf.DUMMYFUNCTION("if(isblank(B1182),,split(B1182,""ー""))"),"44-19")</f>
        <v>44-19</v>
      </c>
      <c r="AA1182" s="4"/>
    </row>
    <row r="1183">
      <c r="A1183" s="15" t="s">
        <v>2129</v>
      </c>
      <c r="B1183" s="16" t="s">
        <v>2106</v>
      </c>
      <c r="C1183" s="9"/>
      <c r="D1183" s="10" t="s">
        <v>417</v>
      </c>
      <c r="E1183" s="10" t="s">
        <v>66</v>
      </c>
      <c r="F1183" s="11" t="s">
        <v>2107</v>
      </c>
      <c r="G1183" s="12" t="s">
        <v>2143</v>
      </c>
      <c r="I1183" s="13" t="str">
        <f>IFERROR(__xludf.DUMMYFUNCTION("if(isblank(A1183),,split(A1183,""ー""))"),"44-8")</f>
        <v>44-8</v>
      </c>
      <c r="K1183" s="13" t="str">
        <f>IFERROR(__xludf.DUMMYFUNCTION("if(isblank(B1183),,split(B1183,""ー""))"),"44-20")</f>
        <v>44-20</v>
      </c>
      <c r="AA1183" s="4"/>
    </row>
    <row r="1184">
      <c r="A1184" s="15" t="s">
        <v>2144</v>
      </c>
      <c r="B1184" s="16" t="s">
        <v>85</v>
      </c>
      <c r="C1184" s="61">
        <v>43917.0</v>
      </c>
      <c r="D1184" s="10" t="s">
        <v>36</v>
      </c>
      <c r="E1184" s="10" t="s">
        <v>87</v>
      </c>
      <c r="F1184" s="11" t="s">
        <v>2145</v>
      </c>
      <c r="G1184" s="12" t="s">
        <v>2146</v>
      </c>
      <c r="I1184" s="13" t="str">
        <f>IFERROR(__xludf.DUMMYFUNCTION("if(isblank(A1184),,split(A1184,""ー""))"),"45-11")</f>
        <v>45-11</v>
      </c>
      <c r="K1184" s="13" t="str">
        <f>IFERROR(__xludf.DUMMYFUNCTION("if(isblank(B1184),,split(B1184,""ー""))"),"45-12")</f>
        <v>45-12</v>
      </c>
      <c r="AA1184" s="4"/>
    </row>
    <row r="1185">
      <c r="A1185" s="15" t="s">
        <v>2147</v>
      </c>
      <c r="B1185" s="16" t="s">
        <v>2148</v>
      </c>
      <c r="C1185" s="9"/>
      <c r="D1185" s="10" t="s">
        <v>2057</v>
      </c>
      <c r="E1185" s="10" t="s">
        <v>87</v>
      </c>
      <c r="F1185" s="11" t="s">
        <v>36</v>
      </c>
      <c r="G1185" s="12" t="s">
        <v>2149</v>
      </c>
      <c r="I1185" s="13" t="str">
        <f>IFERROR(__xludf.DUMMYFUNCTION("if(isblank(A1185),,split(A1185,""ー""))"),"45-5")</f>
        <v>45-5</v>
      </c>
      <c r="K1185" s="13" t="str">
        <f>IFERROR(__xludf.DUMMYFUNCTION("if(isblank(B1185),,split(B1185,""ー""))"),"45-6")</f>
        <v>45-6</v>
      </c>
      <c r="AA1185" s="4"/>
    </row>
    <row r="1186">
      <c r="A1186" s="15" t="s">
        <v>2150</v>
      </c>
      <c r="B1186" s="16" t="s">
        <v>2151</v>
      </c>
      <c r="C1186" s="9"/>
      <c r="D1186" s="10" t="s">
        <v>44</v>
      </c>
      <c r="E1186" s="10" t="s">
        <v>87</v>
      </c>
      <c r="F1186" s="11" t="s">
        <v>36</v>
      </c>
      <c r="G1186" s="12" t="s">
        <v>2152</v>
      </c>
      <c r="I1186" s="13" t="str">
        <f>IFERROR(__xludf.DUMMYFUNCTION("if(isblank(A1186),,split(A1186,""ー""))"),"45-7")</f>
        <v>45-7</v>
      </c>
      <c r="K1186" s="13" t="str">
        <f>IFERROR(__xludf.DUMMYFUNCTION("if(isblank(B1186),,split(B1186,""ー""))"),"45-8")</f>
        <v>45-8</v>
      </c>
    </row>
    <row r="1187">
      <c r="A1187" s="15" t="s">
        <v>2150</v>
      </c>
      <c r="B1187" s="16" t="s">
        <v>2153</v>
      </c>
      <c r="C1187" s="61">
        <v>43920.0</v>
      </c>
      <c r="D1187" s="10" t="s">
        <v>36</v>
      </c>
      <c r="E1187" s="10" t="s">
        <v>87</v>
      </c>
      <c r="F1187" s="11" t="s">
        <v>2154</v>
      </c>
      <c r="G1187" s="12" t="s">
        <v>2155</v>
      </c>
      <c r="I1187" s="13" t="str">
        <f>IFERROR(__xludf.DUMMYFUNCTION("if(isblank(A1187),,split(A1187,""ー""))"),"45-7")</f>
        <v>45-7</v>
      </c>
      <c r="K1187" s="13" t="str">
        <f>IFERROR(__xludf.DUMMYFUNCTION("if(isblank(B1187),,split(B1187,""ー""))"),"45-9")</f>
        <v>45-9</v>
      </c>
    </row>
    <row r="1188">
      <c r="A1188" s="15" t="s">
        <v>2156</v>
      </c>
      <c r="B1188" s="16" t="s">
        <v>2157</v>
      </c>
      <c r="C1188" s="9"/>
      <c r="D1188" s="10" t="s">
        <v>2158</v>
      </c>
      <c r="E1188" s="10" t="s">
        <v>102</v>
      </c>
      <c r="F1188" s="11" t="s">
        <v>36</v>
      </c>
      <c r="G1188" s="11"/>
      <c r="I1188" s="13" t="str">
        <f>IFERROR(__xludf.DUMMYFUNCTION("if(isblank(A1188),,split(A1188,""ー""))"),"47-6")</f>
        <v>47-6</v>
      </c>
      <c r="K1188" s="13" t="str">
        <f>IFERROR(__xludf.DUMMYFUNCTION("if(isblank(B1188),,split(B1188,""ー""))"),"25-13")</f>
        <v>25-13</v>
      </c>
    </row>
    <row r="1189">
      <c r="A1189" s="15" t="s">
        <v>2156</v>
      </c>
      <c r="B1189" s="16" t="s">
        <v>2159</v>
      </c>
      <c r="C1189" s="61">
        <v>43913.0</v>
      </c>
      <c r="D1189" s="10" t="s">
        <v>36</v>
      </c>
      <c r="E1189" s="10" t="s">
        <v>102</v>
      </c>
      <c r="F1189" s="11" t="s">
        <v>36</v>
      </c>
      <c r="G1189" s="12" t="s">
        <v>2160</v>
      </c>
      <c r="I1189" s="13" t="str">
        <f>IFERROR(__xludf.DUMMYFUNCTION("if(isblank(A1189),,split(A1189,""ー""))"),"47-6")</f>
        <v>47-6</v>
      </c>
      <c r="K1189" s="13" t="str">
        <f>IFERROR(__xludf.DUMMYFUNCTION("if(isblank(B1189),,split(B1189,""ー""))"),"47-17")</f>
        <v>47-17</v>
      </c>
    </row>
    <row r="1190">
      <c r="A1190" s="15" t="s">
        <v>2156</v>
      </c>
      <c r="B1190" s="16" t="s">
        <v>2161</v>
      </c>
      <c r="C1190" s="61">
        <v>43913.0</v>
      </c>
      <c r="D1190" s="10" t="s">
        <v>36</v>
      </c>
      <c r="E1190" s="10" t="s">
        <v>102</v>
      </c>
      <c r="F1190" s="11" t="s">
        <v>36</v>
      </c>
      <c r="G1190" s="12" t="s">
        <v>2162</v>
      </c>
      <c r="I1190" s="13" t="str">
        <f>IFERROR(__xludf.DUMMYFUNCTION("if(isblank(A1190),,split(A1190,""ー""))"),"47-6")</f>
        <v>47-6</v>
      </c>
      <c r="K1190" s="13" t="str">
        <f>IFERROR(__xludf.DUMMYFUNCTION("if(isblank(B1190),,split(B1190,""ー""))"),"47-7")</f>
        <v>47-7</v>
      </c>
    </row>
    <row r="1191">
      <c r="A1191" s="8" t="s">
        <v>2163</v>
      </c>
      <c r="B1191" s="8" t="s">
        <v>2164</v>
      </c>
      <c r="C1191" s="9"/>
      <c r="D1191" s="10" t="s">
        <v>36</v>
      </c>
      <c r="E1191" s="10" t="s">
        <v>288</v>
      </c>
      <c r="F1191" s="11" t="s">
        <v>36</v>
      </c>
      <c r="G1191" s="12" t="s">
        <v>2165</v>
      </c>
    </row>
    <row r="1192">
      <c r="A1192" s="8" t="s">
        <v>2163</v>
      </c>
      <c r="B1192" s="8" t="s">
        <v>2166</v>
      </c>
      <c r="C1192" s="9"/>
      <c r="D1192" s="10" t="s">
        <v>36</v>
      </c>
      <c r="E1192" s="10" t="s">
        <v>288</v>
      </c>
      <c r="F1192" s="11" t="s">
        <v>36</v>
      </c>
      <c r="G1192" s="12" t="s">
        <v>2165</v>
      </c>
    </row>
    <row r="1193">
      <c r="A1193" s="15" t="s">
        <v>2163</v>
      </c>
      <c r="B1193" s="16" t="s">
        <v>2167</v>
      </c>
      <c r="C1193" s="9"/>
      <c r="D1193" s="126" t="s">
        <v>165</v>
      </c>
      <c r="E1193" s="10" t="s">
        <v>288</v>
      </c>
      <c r="F1193" s="127" t="s">
        <v>2168</v>
      </c>
      <c r="G1193" s="12" t="s">
        <v>2169</v>
      </c>
    </row>
    <row r="1194">
      <c r="A1194" s="15" t="s">
        <v>2163</v>
      </c>
      <c r="B1194" s="16" t="s">
        <v>2170</v>
      </c>
      <c r="C1194" s="9"/>
      <c r="D1194" s="126" t="s">
        <v>165</v>
      </c>
      <c r="E1194" s="10" t="s">
        <v>288</v>
      </c>
      <c r="F1194" s="127" t="s">
        <v>2168</v>
      </c>
      <c r="G1194" s="12" t="s">
        <v>2169</v>
      </c>
    </row>
    <row r="1195">
      <c r="A1195" s="15" t="s">
        <v>2171</v>
      </c>
      <c r="B1195" s="16" t="s">
        <v>2172</v>
      </c>
      <c r="C1195" s="9"/>
      <c r="D1195" s="126" t="s">
        <v>165</v>
      </c>
      <c r="E1195" s="10" t="s">
        <v>288</v>
      </c>
      <c r="F1195" s="127" t="s">
        <v>2173</v>
      </c>
      <c r="G1195" s="12" t="s">
        <v>2174</v>
      </c>
    </row>
    <row r="1196">
      <c r="A1196" s="15" t="s">
        <v>2175</v>
      </c>
      <c r="B1196" s="15" t="s">
        <v>2176</v>
      </c>
      <c r="C1196" s="9"/>
      <c r="D1196" s="10" t="s">
        <v>308</v>
      </c>
      <c r="E1196" s="10" t="s">
        <v>264</v>
      </c>
      <c r="F1196" s="11" t="s">
        <v>2177</v>
      </c>
      <c r="G1196" s="12" t="s">
        <v>2178</v>
      </c>
    </row>
    <row r="1197">
      <c r="A1197" s="15" t="s">
        <v>2175</v>
      </c>
      <c r="B1197" s="15" t="s">
        <v>2179</v>
      </c>
      <c r="C1197" s="9"/>
      <c r="D1197" s="10" t="s">
        <v>308</v>
      </c>
      <c r="E1197" s="10" t="s">
        <v>264</v>
      </c>
      <c r="F1197" s="11" t="s">
        <v>2177</v>
      </c>
      <c r="G1197" s="12" t="s">
        <v>2180</v>
      </c>
    </row>
    <row r="1198">
      <c r="A1198" s="7" t="s">
        <v>2181</v>
      </c>
      <c r="B1198" s="8" t="s">
        <v>2182</v>
      </c>
      <c r="C1198" s="9"/>
      <c r="D1198" s="35" t="s">
        <v>36</v>
      </c>
      <c r="E1198" s="10" t="s">
        <v>117</v>
      </c>
      <c r="F1198" s="36" t="s">
        <v>36</v>
      </c>
      <c r="G1198" s="12" t="s">
        <v>2183</v>
      </c>
    </row>
    <row r="1199">
      <c r="A1199" s="7" t="s">
        <v>2184</v>
      </c>
      <c r="B1199" s="8" t="s">
        <v>2185</v>
      </c>
      <c r="C1199" s="9"/>
      <c r="D1199" s="35" t="s">
        <v>36</v>
      </c>
      <c r="E1199" s="10" t="s">
        <v>117</v>
      </c>
      <c r="F1199" s="36" t="s">
        <v>36</v>
      </c>
      <c r="G1199" s="12" t="s">
        <v>2186</v>
      </c>
    </row>
    <row r="1200">
      <c r="A1200" s="7" t="s">
        <v>2187</v>
      </c>
      <c r="B1200" s="8" t="s">
        <v>2188</v>
      </c>
      <c r="C1200" s="9"/>
      <c r="D1200" s="10" t="s">
        <v>2189</v>
      </c>
      <c r="E1200" s="10" t="s">
        <v>117</v>
      </c>
      <c r="F1200" s="93" t="s">
        <v>2190</v>
      </c>
      <c r="G1200" s="49" t="s">
        <v>2191</v>
      </c>
    </row>
    <row r="1201">
      <c r="A1201" s="7" t="s">
        <v>2187</v>
      </c>
      <c r="B1201" s="8" t="s">
        <v>2192</v>
      </c>
      <c r="C1201" s="9"/>
      <c r="D1201" s="10" t="s">
        <v>2189</v>
      </c>
      <c r="E1201" s="10" t="s">
        <v>117</v>
      </c>
      <c r="F1201" s="93" t="s">
        <v>2190</v>
      </c>
      <c r="G1201" s="49" t="s">
        <v>2193</v>
      </c>
    </row>
    <row r="1202">
      <c r="A1202" s="7" t="s">
        <v>2187</v>
      </c>
      <c r="B1202" s="8" t="s">
        <v>2194</v>
      </c>
      <c r="C1202" s="9"/>
      <c r="D1202" s="10" t="s">
        <v>2189</v>
      </c>
      <c r="E1202" s="10" t="s">
        <v>117</v>
      </c>
      <c r="F1202" s="93" t="s">
        <v>2190</v>
      </c>
      <c r="G1202" s="49" t="s">
        <v>2193</v>
      </c>
    </row>
    <row r="1203">
      <c r="A1203" s="7" t="s">
        <v>2187</v>
      </c>
      <c r="B1203" s="8" t="s">
        <v>2195</v>
      </c>
      <c r="C1203" s="9"/>
      <c r="D1203" s="10" t="s">
        <v>2189</v>
      </c>
      <c r="E1203" s="10" t="s">
        <v>117</v>
      </c>
      <c r="F1203" s="93" t="s">
        <v>2190</v>
      </c>
      <c r="G1203" s="49" t="s">
        <v>2193</v>
      </c>
    </row>
    <row r="1204">
      <c r="A1204" s="7" t="s">
        <v>2187</v>
      </c>
      <c r="B1204" s="8" t="s">
        <v>2196</v>
      </c>
      <c r="C1204" s="9"/>
      <c r="D1204" s="10" t="s">
        <v>2189</v>
      </c>
      <c r="E1204" s="10" t="s">
        <v>117</v>
      </c>
      <c r="F1204" s="93" t="s">
        <v>2190</v>
      </c>
      <c r="G1204" s="49" t="s">
        <v>2193</v>
      </c>
    </row>
    <row r="1205">
      <c r="A1205" s="7" t="s">
        <v>2187</v>
      </c>
      <c r="B1205" s="8" t="s">
        <v>2197</v>
      </c>
      <c r="C1205" s="9"/>
      <c r="D1205" s="10" t="s">
        <v>2189</v>
      </c>
      <c r="E1205" s="10" t="s">
        <v>117</v>
      </c>
      <c r="F1205" s="93" t="s">
        <v>2190</v>
      </c>
      <c r="G1205" s="49" t="s">
        <v>2193</v>
      </c>
    </row>
    <row r="1206">
      <c r="A1206" s="7" t="s">
        <v>2187</v>
      </c>
      <c r="B1206" s="8" t="s">
        <v>2198</v>
      </c>
      <c r="C1206" s="9"/>
      <c r="D1206" s="10" t="s">
        <v>2189</v>
      </c>
      <c r="E1206" s="10" t="s">
        <v>117</v>
      </c>
      <c r="F1206" s="93" t="s">
        <v>2190</v>
      </c>
      <c r="G1206" s="49" t="s">
        <v>2193</v>
      </c>
    </row>
    <row r="1207">
      <c r="A1207" s="7" t="s">
        <v>2187</v>
      </c>
      <c r="B1207" s="8" t="s">
        <v>2199</v>
      </c>
      <c r="C1207" s="9"/>
      <c r="D1207" s="10" t="s">
        <v>2200</v>
      </c>
      <c r="E1207" s="10" t="s">
        <v>117</v>
      </c>
      <c r="F1207" s="93" t="s">
        <v>2190</v>
      </c>
      <c r="G1207" s="49" t="s">
        <v>2193</v>
      </c>
    </row>
    <row r="1208">
      <c r="A1208" s="7" t="s">
        <v>2201</v>
      </c>
      <c r="B1208" s="8" t="s">
        <v>2202</v>
      </c>
      <c r="C1208" s="9"/>
      <c r="D1208" s="10" t="s">
        <v>36</v>
      </c>
      <c r="E1208" s="10" t="s">
        <v>117</v>
      </c>
      <c r="F1208" s="93" t="s">
        <v>36</v>
      </c>
      <c r="G1208" s="49" t="s">
        <v>2193</v>
      </c>
    </row>
    <row r="1209">
      <c r="A1209" s="7" t="s">
        <v>2203</v>
      </c>
      <c r="B1209" s="8" t="s">
        <v>2204</v>
      </c>
      <c r="C1209" s="9"/>
      <c r="D1209" s="10" t="s">
        <v>36</v>
      </c>
      <c r="E1209" s="10" t="s">
        <v>117</v>
      </c>
      <c r="F1209" s="93" t="s">
        <v>36</v>
      </c>
      <c r="G1209" s="49" t="s">
        <v>2205</v>
      </c>
    </row>
    <row r="1210">
      <c r="A1210" s="7" t="s">
        <v>2206</v>
      </c>
      <c r="B1210" s="8" t="s">
        <v>2207</v>
      </c>
      <c r="C1210" s="9"/>
      <c r="D1210" s="10" t="s">
        <v>165</v>
      </c>
      <c r="E1210" s="10" t="s">
        <v>274</v>
      </c>
      <c r="F1210" s="93" t="s">
        <v>2208</v>
      </c>
      <c r="G1210" s="49" t="s">
        <v>2209</v>
      </c>
    </row>
    <row r="1211">
      <c r="A1211" s="7" t="s">
        <v>2206</v>
      </c>
      <c r="B1211" s="8" t="s">
        <v>2210</v>
      </c>
      <c r="C1211" s="9"/>
      <c r="D1211" s="10" t="s">
        <v>165</v>
      </c>
      <c r="E1211" s="10" t="s">
        <v>274</v>
      </c>
      <c r="F1211" s="93" t="s">
        <v>2208</v>
      </c>
      <c r="G1211" s="49" t="s">
        <v>2209</v>
      </c>
    </row>
    <row r="1212">
      <c r="A1212" s="7" t="s">
        <v>2206</v>
      </c>
      <c r="B1212" s="8" t="s">
        <v>2211</v>
      </c>
      <c r="C1212" s="9"/>
      <c r="D1212" s="10" t="s">
        <v>1865</v>
      </c>
      <c r="E1212" s="10" t="s">
        <v>274</v>
      </c>
      <c r="F1212" s="93" t="s">
        <v>2208</v>
      </c>
      <c r="G1212" s="49" t="s">
        <v>2209</v>
      </c>
    </row>
    <row r="1213">
      <c r="A1213" s="7" t="s">
        <v>2210</v>
      </c>
      <c r="B1213" s="8" t="s">
        <v>2212</v>
      </c>
      <c r="C1213" s="9"/>
      <c r="D1213" s="10" t="s">
        <v>2213</v>
      </c>
      <c r="E1213" s="10" t="s">
        <v>274</v>
      </c>
      <c r="F1213" s="93" t="s">
        <v>2214</v>
      </c>
      <c r="G1213" s="49" t="s">
        <v>2215</v>
      </c>
    </row>
    <row r="1214">
      <c r="A1214" s="7" t="s">
        <v>2211</v>
      </c>
      <c r="B1214" s="8" t="s">
        <v>2216</v>
      </c>
      <c r="C1214" s="9"/>
      <c r="D1214" s="10" t="s">
        <v>308</v>
      </c>
      <c r="E1214" s="10" t="s">
        <v>274</v>
      </c>
      <c r="F1214" s="93" t="s">
        <v>2208</v>
      </c>
      <c r="G1214" s="49" t="s">
        <v>2209</v>
      </c>
    </row>
    <row r="1215">
      <c r="A1215" s="7" t="s">
        <v>2211</v>
      </c>
      <c r="B1215" s="8" t="s">
        <v>2217</v>
      </c>
      <c r="C1215" s="9"/>
      <c r="D1215" s="10" t="s">
        <v>308</v>
      </c>
      <c r="E1215" s="10" t="s">
        <v>274</v>
      </c>
      <c r="F1215" s="93" t="s">
        <v>2208</v>
      </c>
      <c r="G1215" s="49" t="s">
        <v>2209</v>
      </c>
    </row>
    <row r="1216">
      <c r="A1216" s="7" t="s">
        <v>2218</v>
      </c>
      <c r="B1216" s="8" t="s">
        <v>2219</v>
      </c>
      <c r="C1216" s="9"/>
      <c r="D1216" s="10" t="s">
        <v>308</v>
      </c>
      <c r="E1216" s="10" t="s">
        <v>274</v>
      </c>
      <c r="F1216" s="93" t="s">
        <v>2220</v>
      </c>
      <c r="G1216" s="49" t="s">
        <v>246</v>
      </c>
    </row>
    <row r="1217">
      <c r="A1217" s="7" t="s">
        <v>2218</v>
      </c>
      <c r="B1217" s="8" t="s">
        <v>2221</v>
      </c>
      <c r="C1217" s="9"/>
      <c r="D1217" s="10" t="s">
        <v>931</v>
      </c>
      <c r="E1217" s="10" t="s">
        <v>274</v>
      </c>
      <c r="F1217" s="93" t="s">
        <v>36</v>
      </c>
      <c r="G1217" s="49" t="s">
        <v>246</v>
      </c>
    </row>
    <row r="1218">
      <c r="A1218" s="7" t="s">
        <v>2218</v>
      </c>
      <c r="B1218" s="8" t="s">
        <v>2222</v>
      </c>
      <c r="C1218" s="9"/>
      <c r="D1218" s="10" t="s">
        <v>931</v>
      </c>
      <c r="E1218" s="10" t="s">
        <v>274</v>
      </c>
      <c r="F1218" s="93" t="s">
        <v>36</v>
      </c>
      <c r="G1218" s="49" t="s">
        <v>275</v>
      </c>
    </row>
    <row r="1219">
      <c r="A1219" s="7" t="s">
        <v>2218</v>
      </c>
      <c r="B1219" s="7" t="s">
        <v>2223</v>
      </c>
      <c r="C1219" s="9"/>
      <c r="D1219" s="10" t="s">
        <v>30</v>
      </c>
      <c r="E1219" s="10" t="s">
        <v>274</v>
      </c>
      <c r="F1219" s="93" t="s">
        <v>2224</v>
      </c>
      <c r="G1219" s="49" t="s">
        <v>275</v>
      </c>
    </row>
    <row r="1220">
      <c r="A1220" s="7" t="s">
        <v>2221</v>
      </c>
      <c r="B1220" s="8" t="s">
        <v>2225</v>
      </c>
      <c r="C1220" s="9"/>
      <c r="D1220" s="10" t="s">
        <v>931</v>
      </c>
      <c r="E1220" s="10" t="s">
        <v>274</v>
      </c>
      <c r="F1220" s="93" t="s">
        <v>36</v>
      </c>
      <c r="G1220" s="49" t="s">
        <v>275</v>
      </c>
    </row>
    <row r="1221">
      <c r="A1221" s="7" t="s">
        <v>2221</v>
      </c>
      <c r="B1221" s="8" t="s">
        <v>2226</v>
      </c>
      <c r="C1221" s="9"/>
      <c r="D1221" s="10" t="s">
        <v>931</v>
      </c>
      <c r="E1221" s="10" t="s">
        <v>274</v>
      </c>
      <c r="F1221" s="93" t="s">
        <v>36</v>
      </c>
      <c r="G1221" s="49" t="s">
        <v>275</v>
      </c>
    </row>
    <row r="1222">
      <c r="A1222" s="7" t="s">
        <v>2221</v>
      </c>
      <c r="B1222" s="8" t="s">
        <v>2222</v>
      </c>
      <c r="C1222" s="9"/>
      <c r="D1222" s="10" t="s">
        <v>931</v>
      </c>
      <c r="E1222" s="10" t="s">
        <v>274</v>
      </c>
      <c r="F1222" s="93" t="s">
        <v>36</v>
      </c>
      <c r="G1222" s="49" t="s">
        <v>275</v>
      </c>
      <c r="AA1222" s="4"/>
    </row>
    <row r="1223">
      <c r="A1223" s="45" t="s">
        <v>244</v>
      </c>
      <c r="B1223" s="8" t="s">
        <v>2227</v>
      </c>
      <c r="C1223" s="9"/>
      <c r="D1223" s="10" t="s">
        <v>931</v>
      </c>
      <c r="E1223" s="10" t="s">
        <v>274</v>
      </c>
      <c r="F1223" s="93" t="s">
        <v>36</v>
      </c>
      <c r="G1223" s="49" t="s">
        <v>2228</v>
      </c>
    </row>
    <row r="1224">
      <c r="A1224" s="45" t="s">
        <v>2226</v>
      </c>
      <c r="B1224" s="8" t="s">
        <v>2229</v>
      </c>
      <c r="C1224" s="9"/>
      <c r="D1224" s="10" t="s">
        <v>308</v>
      </c>
      <c r="E1224" s="10" t="s">
        <v>274</v>
      </c>
      <c r="F1224" s="93" t="s">
        <v>2230</v>
      </c>
      <c r="G1224" s="49" t="s">
        <v>2228</v>
      </c>
    </row>
    <row r="1225">
      <c r="A1225" s="45" t="s">
        <v>2226</v>
      </c>
      <c r="B1225" s="8" t="s">
        <v>2231</v>
      </c>
      <c r="C1225" s="9"/>
      <c r="D1225" s="10" t="s">
        <v>308</v>
      </c>
      <c r="E1225" s="10" t="s">
        <v>274</v>
      </c>
      <c r="F1225" s="93" t="s">
        <v>2230</v>
      </c>
      <c r="G1225" s="49" t="s">
        <v>2228</v>
      </c>
    </row>
    <row r="1226">
      <c r="A1226" s="45" t="s">
        <v>2226</v>
      </c>
      <c r="B1226" s="8" t="s">
        <v>2232</v>
      </c>
      <c r="C1226" s="9"/>
      <c r="D1226" s="10" t="s">
        <v>308</v>
      </c>
      <c r="E1226" s="10" t="s">
        <v>274</v>
      </c>
      <c r="F1226" s="93" t="s">
        <v>2230</v>
      </c>
      <c r="G1226" s="49" t="s">
        <v>2228</v>
      </c>
    </row>
    <row r="1227">
      <c r="A1227" s="45" t="s">
        <v>271</v>
      </c>
      <c r="B1227" s="8" t="s">
        <v>2233</v>
      </c>
      <c r="C1227" s="9"/>
      <c r="D1227" s="10" t="s">
        <v>308</v>
      </c>
      <c r="E1227" s="10" t="s">
        <v>274</v>
      </c>
      <c r="F1227" s="93" t="s">
        <v>2234</v>
      </c>
      <c r="G1227" s="49" t="s">
        <v>2235</v>
      </c>
    </row>
    <row r="1228">
      <c r="A1228" s="45" t="s">
        <v>271</v>
      </c>
      <c r="B1228" s="8" t="s">
        <v>2236</v>
      </c>
      <c r="C1228" s="9"/>
      <c r="D1228" s="10" t="s">
        <v>308</v>
      </c>
      <c r="E1228" s="10" t="s">
        <v>274</v>
      </c>
      <c r="F1228" s="93" t="s">
        <v>2234</v>
      </c>
      <c r="G1228" s="49" t="s">
        <v>2235</v>
      </c>
    </row>
    <row r="1229">
      <c r="A1229" s="15" t="s">
        <v>1152</v>
      </c>
      <c r="B1229" s="16" t="s">
        <v>2237</v>
      </c>
      <c r="C1229" s="9"/>
      <c r="D1229" s="10" t="s">
        <v>30</v>
      </c>
      <c r="E1229" s="10" t="s">
        <v>1149</v>
      </c>
      <c r="F1229" s="93" t="s">
        <v>1157</v>
      </c>
      <c r="G1229" s="49" t="s">
        <v>2238</v>
      </c>
    </row>
    <row r="1230">
      <c r="A1230" s="15" t="s">
        <v>1152</v>
      </c>
      <c r="B1230" s="16" t="s">
        <v>2239</v>
      </c>
      <c r="C1230" s="9"/>
      <c r="D1230" s="10" t="s">
        <v>30</v>
      </c>
      <c r="E1230" s="10" t="s">
        <v>1149</v>
      </c>
      <c r="F1230" s="93" t="s">
        <v>1157</v>
      </c>
      <c r="G1230" s="12" t="s">
        <v>2240</v>
      </c>
    </row>
    <row r="1231">
      <c r="A1231" s="15" t="s">
        <v>1152</v>
      </c>
      <c r="B1231" s="16" t="s">
        <v>2239</v>
      </c>
      <c r="C1231" s="9"/>
      <c r="D1231" s="10" t="s">
        <v>30</v>
      </c>
      <c r="E1231" s="10" t="s">
        <v>1149</v>
      </c>
      <c r="F1231" s="93" t="s">
        <v>1157</v>
      </c>
      <c r="G1231" s="12" t="s">
        <v>2241</v>
      </c>
    </row>
    <row r="1232">
      <c r="A1232" s="15" t="s">
        <v>2242</v>
      </c>
      <c r="B1232" s="16" t="s">
        <v>2243</v>
      </c>
      <c r="C1232" s="9"/>
      <c r="D1232" s="10" t="s">
        <v>360</v>
      </c>
      <c r="E1232" s="10" t="s">
        <v>1149</v>
      </c>
      <c r="F1232" s="11" t="s">
        <v>2244</v>
      </c>
      <c r="G1232" s="12" t="s">
        <v>2245</v>
      </c>
    </row>
    <row r="1233">
      <c r="A1233" s="15" t="s">
        <v>2242</v>
      </c>
      <c r="B1233" s="16" t="s">
        <v>2246</v>
      </c>
      <c r="C1233" s="9"/>
      <c r="D1233" s="10" t="s">
        <v>1200</v>
      </c>
      <c r="E1233" s="10" t="s">
        <v>1149</v>
      </c>
      <c r="F1233" s="11" t="s">
        <v>2244</v>
      </c>
      <c r="G1233" s="12" t="s">
        <v>2245</v>
      </c>
    </row>
    <row r="1234">
      <c r="A1234" s="15" t="s">
        <v>2247</v>
      </c>
      <c r="B1234" s="16" t="s">
        <v>2248</v>
      </c>
      <c r="C1234" s="9"/>
      <c r="D1234" s="10" t="s">
        <v>30</v>
      </c>
      <c r="E1234" s="10" t="s">
        <v>1149</v>
      </c>
      <c r="F1234" s="11" t="s">
        <v>2249</v>
      </c>
      <c r="G1234" s="12" t="s">
        <v>2245</v>
      </c>
    </row>
    <row r="1235">
      <c r="A1235" s="15" t="s">
        <v>2250</v>
      </c>
      <c r="B1235" s="16" t="s">
        <v>2251</v>
      </c>
      <c r="C1235" s="9"/>
      <c r="D1235" s="126" t="s">
        <v>1200</v>
      </c>
      <c r="E1235" s="10" t="s">
        <v>1149</v>
      </c>
      <c r="F1235" s="128" t="s">
        <v>1150</v>
      </c>
      <c r="G1235" s="12" t="s">
        <v>2245</v>
      </c>
    </row>
    <row r="1236">
      <c r="A1236" s="7" t="s">
        <v>2252</v>
      </c>
      <c r="B1236" s="88" t="s">
        <v>2253</v>
      </c>
      <c r="C1236" s="9">
        <v>43907.0</v>
      </c>
      <c r="D1236" s="6" t="s">
        <v>36</v>
      </c>
      <c r="E1236" s="6" t="s">
        <v>955</v>
      </c>
      <c r="F1236" s="11" t="s">
        <v>36</v>
      </c>
      <c r="G1236" s="12" t="s">
        <v>2254</v>
      </c>
    </row>
    <row r="1237">
      <c r="A1237" s="7" t="s">
        <v>2252</v>
      </c>
      <c r="B1237" s="88" t="s">
        <v>2255</v>
      </c>
      <c r="C1237" s="9"/>
      <c r="D1237" s="6" t="s">
        <v>2256</v>
      </c>
      <c r="E1237" s="6" t="s">
        <v>955</v>
      </c>
      <c r="F1237" s="11" t="s">
        <v>36</v>
      </c>
      <c r="G1237" s="12" t="s">
        <v>2257</v>
      </c>
    </row>
    <row r="1238">
      <c r="A1238" s="7" t="s">
        <v>2258</v>
      </c>
      <c r="B1238" s="88" t="s">
        <v>2259</v>
      </c>
      <c r="C1238" s="9"/>
      <c r="D1238" s="6" t="s">
        <v>44</v>
      </c>
      <c r="E1238" s="6" t="s">
        <v>955</v>
      </c>
      <c r="F1238" s="11" t="s">
        <v>2260</v>
      </c>
      <c r="G1238" s="12" t="s">
        <v>2261</v>
      </c>
    </row>
    <row r="1239">
      <c r="A1239" s="7" t="s">
        <v>2258</v>
      </c>
      <c r="B1239" s="88" t="s">
        <v>2262</v>
      </c>
      <c r="C1239" s="9"/>
      <c r="D1239" s="6" t="s">
        <v>2263</v>
      </c>
      <c r="E1239" s="6" t="s">
        <v>955</v>
      </c>
      <c r="F1239" s="11" t="s">
        <v>2260</v>
      </c>
      <c r="G1239" s="12" t="s">
        <v>2261</v>
      </c>
    </row>
    <row r="1240">
      <c r="A1240" s="7" t="s">
        <v>2262</v>
      </c>
      <c r="B1240" s="88" t="s">
        <v>2264</v>
      </c>
      <c r="C1240" s="9"/>
      <c r="D1240" s="6" t="s">
        <v>1200</v>
      </c>
      <c r="E1240" s="6" t="s">
        <v>955</v>
      </c>
      <c r="F1240" s="11" t="s">
        <v>2260</v>
      </c>
      <c r="G1240" s="12" t="s">
        <v>2265</v>
      </c>
    </row>
    <row r="1241">
      <c r="A1241" s="7" t="s">
        <v>953</v>
      </c>
      <c r="B1241" s="88" t="s">
        <v>2266</v>
      </c>
      <c r="C1241" s="9"/>
      <c r="D1241" s="6" t="s">
        <v>52</v>
      </c>
      <c r="E1241" s="6" t="s">
        <v>955</v>
      </c>
      <c r="F1241" s="11" t="s">
        <v>36</v>
      </c>
      <c r="G1241" s="12" t="s">
        <v>2267</v>
      </c>
      <c r="Y1241" s="4"/>
      <c r="Z1241" s="4"/>
    </row>
    <row r="1242">
      <c r="A1242" s="7" t="s">
        <v>953</v>
      </c>
      <c r="B1242" s="88" t="s">
        <v>2268</v>
      </c>
      <c r="C1242" s="9">
        <v>43911.0</v>
      </c>
      <c r="D1242" s="6" t="s">
        <v>36</v>
      </c>
      <c r="E1242" s="6" t="s">
        <v>955</v>
      </c>
      <c r="F1242" s="11" t="s">
        <v>956</v>
      </c>
      <c r="G1242" s="12" t="s">
        <v>2269</v>
      </c>
      <c r="Y1242" s="4"/>
      <c r="Z1242" s="4"/>
    </row>
    <row r="1243">
      <c r="A1243" s="7" t="s">
        <v>953</v>
      </c>
      <c r="B1243" s="88" t="s">
        <v>2270</v>
      </c>
      <c r="C1243" s="9">
        <v>43911.0</v>
      </c>
      <c r="D1243" s="6" t="s">
        <v>2271</v>
      </c>
      <c r="E1243" s="6" t="s">
        <v>955</v>
      </c>
      <c r="F1243" s="11" t="s">
        <v>36</v>
      </c>
      <c r="G1243" s="12" t="s">
        <v>2272</v>
      </c>
      <c r="Y1243" s="4"/>
      <c r="Z1243" s="4"/>
    </row>
    <row r="1244">
      <c r="A1244" s="7" t="s">
        <v>953</v>
      </c>
      <c r="B1244" s="88" t="s">
        <v>2273</v>
      </c>
      <c r="C1244" s="9">
        <v>43911.0</v>
      </c>
      <c r="D1244" s="10" t="s">
        <v>2274</v>
      </c>
      <c r="E1244" s="6" t="s">
        <v>955</v>
      </c>
      <c r="F1244" s="11" t="s">
        <v>956</v>
      </c>
      <c r="G1244" s="12" t="s">
        <v>2269</v>
      </c>
      <c r="Y1244" s="4"/>
      <c r="Z1244" s="4"/>
    </row>
    <row r="1245">
      <c r="A1245" s="7" t="s">
        <v>953</v>
      </c>
      <c r="B1245" s="88" t="s">
        <v>2275</v>
      </c>
      <c r="C1245" s="9">
        <v>43911.0</v>
      </c>
      <c r="D1245" s="10" t="s">
        <v>2274</v>
      </c>
      <c r="E1245" s="6" t="s">
        <v>955</v>
      </c>
      <c r="F1245" s="11" t="s">
        <v>956</v>
      </c>
      <c r="G1245" s="12" t="s">
        <v>2276</v>
      </c>
      <c r="Y1245" s="4"/>
      <c r="Z1245" s="4"/>
    </row>
    <row r="1246">
      <c r="A1246" s="7" t="s">
        <v>953</v>
      </c>
      <c r="B1246" s="88" t="s">
        <v>2277</v>
      </c>
      <c r="C1246" s="9"/>
      <c r="D1246" s="6" t="s">
        <v>36</v>
      </c>
      <c r="E1246" s="6" t="s">
        <v>955</v>
      </c>
      <c r="F1246" s="11" t="s">
        <v>956</v>
      </c>
      <c r="G1246" s="12" t="s">
        <v>2267</v>
      </c>
      <c r="Y1246" s="4"/>
      <c r="Z1246" s="4"/>
    </row>
    <row r="1247">
      <c r="A1247" s="7" t="s">
        <v>953</v>
      </c>
      <c r="B1247" s="88" t="s">
        <v>959</v>
      </c>
      <c r="C1247" s="9"/>
      <c r="D1247" s="6" t="s">
        <v>36</v>
      </c>
      <c r="E1247" s="6" t="s">
        <v>955</v>
      </c>
      <c r="F1247" s="11" t="s">
        <v>956</v>
      </c>
      <c r="G1247" s="12" t="s">
        <v>2267</v>
      </c>
      <c r="Y1247" s="4"/>
      <c r="Z1247" s="4"/>
    </row>
    <row r="1248">
      <c r="A1248" s="7" t="s">
        <v>958</v>
      </c>
      <c r="B1248" s="7" t="s">
        <v>2266</v>
      </c>
      <c r="C1248" s="10"/>
      <c r="D1248" s="6" t="s">
        <v>52</v>
      </c>
      <c r="E1248" s="6" t="s">
        <v>955</v>
      </c>
      <c r="F1248" s="11" t="s">
        <v>36</v>
      </c>
      <c r="G1248" s="12" t="s">
        <v>2267</v>
      </c>
      <c r="AA1248" s="4"/>
    </row>
    <row r="1249">
      <c r="A1249" s="7" t="s">
        <v>958</v>
      </c>
      <c r="B1249" s="7" t="s">
        <v>2278</v>
      </c>
      <c r="C1249" s="129">
        <v>43912.0</v>
      </c>
      <c r="D1249" s="10" t="s">
        <v>2279</v>
      </c>
      <c r="E1249" s="6" t="s">
        <v>955</v>
      </c>
      <c r="F1249" s="11" t="s">
        <v>36</v>
      </c>
      <c r="G1249" s="49" t="s">
        <v>2280</v>
      </c>
    </row>
    <row r="1250">
      <c r="A1250" s="7" t="s">
        <v>958</v>
      </c>
      <c r="B1250" s="7" t="s">
        <v>2281</v>
      </c>
      <c r="C1250" s="10"/>
      <c r="D1250" s="10" t="s">
        <v>2282</v>
      </c>
      <c r="E1250" s="6" t="s">
        <v>955</v>
      </c>
      <c r="F1250" s="11" t="s">
        <v>36</v>
      </c>
      <c r="G1250" s="49" t="s">
        <v>2280</v>
      </c>
    </row>
    <row r="1251">
      <c r="A1251" s="7" t="s">
        <v>2278</v>
      </c>
      <c r="B1251" s="7" t="s">
        <v>2283</v>
      </c>
      <c r="C1251" s="10"/>
      <c r="D1251" s="10" t="s">
        <v>2282</v>
      </c>
      <c r="E1251" s="6" t="s">
        <v>955</v>
      </c>
      <c r="F1251" s="11" t="s">
        <v>36</v>
      </c>
      <c r="G1251" s="49" t="s">
        <v>2284</v>
      </c>
    </row>
    <row r="1252">
      <c r="A1252" s="7" t="s">
        <v>2278</v>
      </c>
      <c r="B1252" s="7" t="s">
        <v>2285</v>
      </c>
      <c r="C1252" s="10"/>
      <c r="D1252" s="10" t="s">
        <v>2282</v>
      </c>
      <c r="E1252" s="6" t="s">
        <v>955</v>
      </c>
      <c r="F1252" s="11" t="s">
        <v>36</v>
      </c>
      <c r="G1252" s="49" t="s">
        <v>2284</v>
      </c>
    </row>
    <row r="1253">
      <c r="A1253" s="7" t="s">
        <v>2278</v>
      </c>
      <c r="B1253" s="7" t="s">
        <v>2286</v>
      </c>
      <c r="C1253" s="10"/>
      <c r="D1253" s="10" t="s">
        <v>2282</v>
      </c>
      <c r="E1253" s="6" t="s">
        <v>955</v>
      </c>
      <c r="F1253" s="11" t="s">
        <v>36</v>
      </c>
      <c r="G1253" s="49" t="s">
        <v>2284</v>
      </c>
    </row>
    <row r="1254">
      <c r="A1254" s="7" t="s">
        <v>2278</v>
      </c>
      <c r="B1254" s="7" t="s">
        <v>2287</v>
      </c>
      <c r="C1254" s="10"/>
      <c r="D1254" s="10" t="s">
        <v>2282</v>
      </c>
      <c r="E1254" s="6" t="s">
        <v>955</v>
      </c>
      <c r="F1254" s="11" t="s">
        <v>36</v>
      </c>
      <c r="G1254" s="49" t="s">
        <v>2284</v>
      </c>
    </row>
    <row r="1255">
      <c r="A1255" s="7" t="s">
        <v>2281</v>
      </c>
      <c r="B1255" s="7" t="s">
        <v>2288</v>
      </c>
      <c r="C1255" s="129"/>
      <c r="D1255" s="10" t="s">
        <v>1200</v>
      </c>
      <c r="E1255" s="6" t="s">
        <v>955</v>
      </c>
      <c r="F1255" s="11" t="s">
        <v>2289</v>
      </c>
      <c r="G1255" s="49" t="s">
        <v>2290</v>
      </c>
    </row>
    <row r="1256">
      <c r="A1256" s="7" t="s">
        <v>2291</v>
      </c>
      <c r="B1256" s="7" t="s">
        <v>2292</v>
      </c>
      <c r="C1256" s="129">
        <v>43907.0</v>
      </c>
      <c r="D1256" s="10" t="s">
        <v>2274</v>
      </c>
      <c r="E1256" s="6" t="s">
        <v>955</v>
      </c>
      <c r="F1256" s="11" t="s">
        <v>956</v>
      </c>
      <c r="G1256" s="49" t="s">
        <v>2293</v>
      </c>
    </row>
    <row r="1257">
      <c r="A1257" s="7" t="s">
        <v>2291</v>
      </c>
      <c r="B1257" s="7" t="s">
        <v>2294</v>
      </c>
      <c r="C1257" s="10"/>
      <c r="D1257" s="10" t="s">
        <v>535</v>
      </c>
      <c r="E1257" s="6" t="s">
        <v>955</v>
      </c>
      <c r="F1257" s="11" t="s">
        <v>956</v>
      </c>
      <c r="G1257" s="49" t="s">
        <v>2295</v>
      </c>
    </row>
    <row r="1258">
      <c r="A1258" s="7" t="s">
        <v>2291</v>
      </c>
      <c r="B1258" s="7" t="s">
        <v>2296</v>
      </c>
      <c r="C1258" s="129">
        <v>43907.0</v>
      </c>
      <c r="D1258" s="10" t="s">
        <v>2274</v>
      </c>
      <c r="E1258" s="6" t="s">
        <v>955</v>
      </c>
      <c r="F1258" s="11" t="s">
        <v>956</v>
      </c>
      <c r="G1258" s="49" t="s">
        <v>2276</v>
      </c>
    </row>
    <row r="1259">
      <c r="A1259" s="7" t="s">
        <v>2291</v>
      </c>
      <c r="B1259" s="7" t="s">
        <v>2297</v>
      </c>
      <c r="C1259" s="129">
        <v>43911.0</v>
      </c>
      <c r="D1259" s="10" t="s">
        <v>2274</v>
      </c>
      <c r="E1259" s="6" t="s">
        <v>955</v>
      </c>
      <c r="F1259" s="11" t="s">
        <v>956</v>
      </c>
      <c r="G1259" s="49" t="s">
        <v>2298</v>
      </c>
    </row>
    <row r="1260">
      <c r="A1260" s="7" t="s">
        <v>2291</v>
      </c>
      <c r="B1260" s="7" t="s">
        <v>2299</v>
      </c>
      <c r="C1260" s="129">
        <v>43914.0</v>
      </c>
      <c r="D1260" s="10" t="s">
        <v>2274</v>
      </c>
      <c r="E1260" s="6" t="s">
        <v>955</v>
      </c>
      <c r="F1260" s="11" t="s">
        <v>956</v>
      </c>
      <c r="G1260" s="49" t="s">
        <v>2295</v>
      </c>
    </row>
    <row r="1261">
      <c r="A1261" s="7" t="s">
        <v>2300</v>
      </c>
      <c r="B1261" s="7" t="s">
        <v>2301</v>
      </c>
      <c r="C1261" s="10"/>
      <c r="D1261" s="10" t="s">
        <v>1200</v>
      </c>
      <c r="E1261" s="6" t="s">
        <v>955</v>
      </c>
      <c r="F1261" s="11" t="s">
        <v>36</v>
      </c>
      <c r="G1261" s="49" t="s">
        <v>2267</v>
      </c>
    </row>
    <row r="1262">
      <c r="A1262" s="7" t="s">
        <v>2300</v>
      </c>
      <c r="B1262" s="7" t="s">
        <v>2296</v>
      </c>
      <c r="C1262" s="10"/>
      <c r="D1262" s="10" t="s">
        <v>818</v>
      </c>
      <c r="E1262" s="6" t="s">
        <v>955</v>
      </c>
      <c r="F1262" s="11" t="s">
        <v>36</v>
      </c>
      <c r="G1262" s="49" t="s">
        <v>2267</v>
      </c>
    </row>
    <row r="1263">
      <c r="A1263" s="7" t="s">
        <v>2300</v>
      </c>
      <c r="B1263" s="7" t="s">
        <v>2302</v>
      </c>
      <c r="C1263" s="10"/>
      <c r="D1263" s="10" t="s">
        <v>2279</v>
      </c>
      <c r="E1263" s="6" t="s">
        <v>955</v>
      </c>
      <c r="F1263" s="11" t="s">
        <v>36</v>
      </c>
      <c r="G1263" s="49" t="s">
        <v>2284</v>
      </c>
    </row>
    <row r="1264">
      <c r="A1264" s="7" t="s">
        <v>2300</v>
      </c>
      <c r="B1264" s="7" t="s">
        <v>2303</v>
      </c>
      <c r="C1264" s="129">
        <v>43917.0</v>
      </c>
      <c r="D1264" s="10" t="s">
        <v>2271</v>
      </c>
      <c r="E1264" s="6" t="s">
        <v>955</v>
      </c>
      <c r="F1264" s="11" t="s">
        <v>36</v>
      </c>
      <c r="G1264" s="49" t="s">
        <v>2304</v>
      </c>
    </row>
    <row r="1265">
      <c r="A1265" s="7" t="s">
        <v>2300</v>
      </c>
      <c r="B1265" s="7" t="s">
        <v>2305</v>
      </c>
      <c r="C1265" s="129">
        <v>43915.0</v>
      </c>
      <c r="D1265" s="10" t="s">
        <v>2282</v>
      </c>
      <c r="E1265" s="6" t="s">
        <v>955</v>
      </c>
      <c r="F1265" s="11" t="s">
        <v>36</v>
      </c>
      <c r="G1265" s="49" t="s">
        <v>2306</v>
      </c>
    </row>
    <row r="1266">
      <c r="A1266" s="7" t="s">
        <v>2300</v>
      </c>
      <c r="B1266" s="7" t="s">
        <v>2307</v>
      </c>
      <c r="C1266" s="10"/>
      <c r="D1266" s="10" t="s">
        <v>2282</v>
      </c>
      <c r="E1266" s="6" t="s">
        <v>955</v>
      </c>
      <c r="F1266" s="11" t="s">
        <v>36</v>
      </c>
      <c r="G1266" s="49" t="s">
        <v>2284</v>
      </c>
    </row>
    <row r="1267">
      <c r="A1267" s="7" t="s">
        <v>2300</v>
      </c>
      <c r="B1267" s="7" t="s">
        <v>2308</v>
      </c>
      <c r="C1267" s="10"/>
      <c r="D1267" s="10" t="s">
        <v>2282</v>
      </c>
      <c r="E1267" s="6" t="s">
        <v>955</v>
      </c>
      <c r="F1267" s="11" t="s">
        <v>36</v>
      </c>
      <c r="G1267" s="49" t="s">
        <v>2284</v>
      </c>
    </row>
    <row r="1268">
      <c r="A1268" s="7" t="s">
        <v>2277</v>
      </c>
      <c r="B1268" s="7" t="s">
        <v>2309</v>
      </c>
      <c r="C1268" s="10"/>
      <c r="D1268" s="10" t="s">
        <v>2282</v>
      </c>
      <c r="E1268" s="6" t="s">
        <v>955</v>
      </c>
      <c r="F1268" s="11" t="s">
        <v>36</v>
      </c>
      <c r="G1268" s="49" t="s">
        <v>2310</v>
      </c>
      <c r="AA1268" s="4"/>
    </row>
    <row r="1269">
      <c r="A1269" s="7" t="s">
        <v>2277</v>
      </c>
      <c r="B1269" s="7" t="s">
        <v>2311</v>
      </c>
      <c r="C1269" s="129">
        <v>43917.0</v>
      </c>
      <c r="D1269" s="10" t="s">
        <v>36</v>
      </c>
      <c r="E1269" s="6" t="s">
        <v>955</v>
      </c>
      <c r="F1269" s="11" t="s">
        <v>36</v>
      </c>
      <c r="G1269" s="49" t="s">
        <v>2312</v>
      </c>
    </row>
    <row r="1270">
      <c r="A1270" s="7" t="s">
        <v>2313</v>
      </c>
      <c r="B1270" s="7" t="s">
        <v>2314</v>
      </c>
      <c r="C1270" s="129">
        <v>43915.0</v>
      </c>
      <c r="D1270" s="10" t="s">
        <v>273</v>
      </c>
      <c r="E1270" s="6" t="s">
        <v>955</v>
      </c>
      <c r="F1270" s="11" t="s">
        <v>36</v>
      </c>
      <c r="G1270" s="49" t="s">
        <v>2276</v>
      </c>
    </row>
    <row r="1271">
      <c r="A1271" s="7" t="s">
        <v>2313</v>
      </c>
      <c r="B1271" s="7" t="s">
        <v>2315</v>
      </c>
      <c r="C1271" s="129"/>
      <c r="D1271" s="10" t="s">
        <v>52</v>
      </c>
      <c r="E1271" s="6" t="s">
        <v>955</v>
      </c>
      <c r="F1271" s="11" t="s">
        <v>36</v>
      </c>
      <c r="G1271" s="49" t="s">
        <v>2267</v>
      </c>
    </row>
    <row r="1272">
      <c r="A1272" s="7" t="s">
        <v>2313</v>
      </c>
      <c r="B1272" s="7" t="s">
        <v>2316</v>
      </c>
      <c r="C1272" s="129"/>
      <c r="D1272" s="10" t="s">
        <v>36</v>
      </c>
      <c r="E1272" s="6" t="s">
        <v>955</v>
      </c>
      <c r="F1272" s="11" t="s">
        <v>36</v>
      </c>
      <c r="G1272" s="49" t="s">
        <v>2317</v>
      </c>
    </row>
    <row r="1273">
      <c r="A1273" s="7" t="s">
        <v>2313</v>
      </c>
      <c r="B1273" s="7" t="s">
        <v>2318</v>
      </c>
      <c r="C1273" s="129">
        <v>43915.0</v>
      </c>
      <c r="D1273" s="10" t="s">
        <v>2319</v>
      </c>
      <c r="E1273" s="6" t="s">
        <v>955</v>
      </c>
      <c r="F1273" s="11" t="s">
        <v>36</v>
      </c>
      <c r="G1273" s="49" t="s">
        <v>2310</v>
      </c>
    </row>
    <row r="1274">
      <c r="A1274" s="7" t="s">
        <v>2313</v>
      </c>
      <c r="B1274" s="7" t="s">
        <v>2320</v>
      </c>
      <c r="C1274" s="129">
        <v>43915.0</v>
      </c>
      <c r="D1274" s="10" t="s">
        <v>2271</v>
      </c>
      <c r="E1274" s="6" t="s">
        <v>955</v>
      </c>
      <c r="F1274" s="11" t="s">
        <v>36</v>
      </c>
      <c r="G1274" s="49" t="s">
        <v>2304</v>
      </c>
    </row>
    <row r="1275">
      <c r="A1275" s="7" t="s">
        <v>2268</v>
      </c>
      <c r="B1275" s="7" t="s">
        <v>2321</v>
      </c>
      <c r="C1275" s="129"/>
      <c r="D1275" s="10" t="s">
        <v>2322</v>
      </c>
      <c r="E1275" s="6" t="s">
        <v>955</v>
      </c>
      <c r="F1275" s="11" t="s">
        <v>36</v>
      </c>
      <c r="G1275" s="49" t="s">
        <v>2312</v>
      </c>
    </row>
    <row r="1276">
      <c r="A1276" s="7" t="s">
        <v>2273</v>
      </c>
      <c r="B1276" s="88" t="s">
        <v>2323</v>
      </c>
      <c r="C1276" s="9"/>
      <c r="D1276" s="6" t="s">
        <v>44</v>
      </c>
      <c r="E1276" s="6" t="s">
        <v>955</v>
      </c>
      <c r="F1276" s="11" t="s">
        <v>2260</v>
      </c>
      <c r="G1276" s="12" t="s">
        <v>2269</v>
      </c>
      <c r="Y1276" s="4"/>
      <c r="Z1276" s="4"/>
    </row>
    <row r="1277">
      <c r="A1277" s="7" t="s">
        <v>2301</v>
      </c>
      <c r="B1277" s="7" t="s">
        <v>2296</v>
      </c>
      <c r="C1277" s="129"/>
      <c r="D1277" s="10" t="s">
        <v>1200</v>
      </c>
      <c r="E1277" s="6" t="s">
        <v>955</v>
      </c>
      <c r="F1277" s="11" t="s">
        <v>36</v>
      </c>
      <c r="G1277" s="49" t="s">
        <v>2267</v>
      </c>
    </row>
    <row r="1278">
      <c r="A1278" s="7" t="s">
        <v>2275</v>
      </c>
      <c r="B1278" s="7" t="s">
        <v>2324</v>
      </c>
      <c r="C1278" s="129"/>
      <c r="D1278" s="10" t="s">
        <v>1200</v>
      </c>
      <c r="E1278" s="6" t="s">
        <v>955</v>
      </c>
      <c r="F1278" s="11" t="s">
        <v>36</v>
      </c>
      <c r="G1278" s="49" t="s">
        <v>2325</v>
      </c>
    </row>
    <row r="1279">
      <c r="A1279" s="7" t="s">
        <v>2275</v>
      </c>
      <c r="B1279" s="7" t="s">
        <v>2326</v>
      </c>
      <c r="C1279" s="129"/>
      <c r="D1279" s="10" t="s">
        <v>36</v>
      </c>
      <c r="E1279" s="6" t="s">
        <v>955</v>
      </c>
      <c r="F1279" s="11" t="s">
        <v>36</v>
      </c>
      <c r="G1279" s="49" t="s">
        <v>2317</v>
      </c>
    </row>
    <row r="1280">
      <c r="A1280" s="7" t="s">
        <v>2275</v>
      </c>
      <c r="B1280" s="7" t="s">
        <v>2327</v>
      </c>
      <c r="C1280" s="129">
        <v>43916.0</v>
      </c>
      <c r="D1280" s="10" t="s">
        <v>30</v>
      </c>
      <c r="E1280" s="6" t="s">
        <v>955</v>
      </c>
      <c r="F1280" s="11" t="s">
        <v>36</v>
      </c>
      <c r="G1280" s="49" t="s">
        <v>2328</v>
      </c>
    </row>
    <row r="1281">
      <c r="A1281" s="7" t="s">
        <v>2275</v>
      </c>
      <c r="B1281" s="7" t="s">
        <v>2329</v>
      </c>
      <c r="C1281" s="129"/>
      <c r="D1281" s="10" t="s">
        <v>1200</v>
      </c>
      <c r="E1281" s="6" t="s">
        <v>955</v>
      </c>
      <c r="F1281" s="11" t="s">
        <v>36</v>
      </c>
      <c r="G1281" s="49" t="s">
        <v>2330</v>
      </c>
    </row>
    <row r="1282">
      <c r="A1282" s="7" t="s">
        <v>2314</v>
      </c>
      <c r="B1282" s="7" t="s">
        <v>2315</v>
      </c>
      <c r="C1282" s="129"/>
      <c r="D1282" s="10" t="s">
        <v>52</v>
      </c>
      <c r="E1282" s="6" t="s">
        <v>955</v>
      </c>
      <c r="F1282" s="11" t="s">
        <v>36</v>
      </c>
      <c r="G1282" s="49" t="s">
        <v>2267</v>
      </c>
    </row>
    <row r="1283">
      <c r="A1283" s="7" t="s">
        <v>2302</v>
      </c>
      <c r="B1283" s="7" t="s">
        <v>2307</v>
      </c>
      <c r="C1283" s="129">
        <v>43920.0</v>
      </c>
      <c r="D1283" s="10" t="s">
        <v>36</v>
      </c>
      <c r="E1283" s="6" t="s">
        <v>955</v>
      </c>
      <c r="F1283" s="11" t="s">
        <v>36</v>
      </c>
      <c r="G1283" s="49" t="s">
        <v>2312</v>
      </c>
    </row>
    <row r="1284">
      <c r="A1284" s="7" t="s">
        <v>2331</v>
      </c>
      <c r="B1284" s="7" t="s">
        <v>2332</v>
      </c>
      <c r="C1284" s="10"/>
      <c r="D1284" s="6" t="s">
        <v>44</v>
      </c>
      <c r="E1284" s="6" t="s">
        <v>955</v>
      </c>
      <c r="F1284" s="11" t="s">
        <v>2333</v>
      </c>
      <c r="G1284" s="49" t="s">
        <v>2310</v>
      </c>
    </row>
    <row r="1285">
      <c r="A1285" s="7" t="s">
        <v>2297</v>
      </c>
      <c r="B1285" s="7" t="s">
        <v>2334</v>
      </c>
      <c r="C1285" s="129">
        <v>43903.0</v>
      </c>
      <c r="D1285" s="6" t="s">
        <v>36</v>
      </c>
      <c r="E1285" s="6" t="s">
        <v>955</v>
      </c>
      <c r="F1285" s="11" t="s">
        <v>36</v>
      </c>
      <c r="G1285" s="49" t="s">
        <v>2335</v>
      </c>
    </row>
    <row r="1286">
      <c r="A1286" s="7" t="s">
        <v>2336</v>
      </c>
      <c r="B1286" s="7" t="s">
        <v>2320</v>
      </c>
      <c r="C1286" s="10"/>
      <c r="D1286" s="6" t="s">
        <v>44</v>
      </c>
      <c r="E1286" s="6" t="s">
        <v>955</v>
      </c>
      <c r="F1286" s="11" t="s">
        <v>2333</v>
      </c>
      <c r="G1286" s="49" t="s">
        <v>2295</v>
      </c>
    </row>
    <row r="1287">
      <c r="A1287" s="7" t="s">
        <v>2334</v>
      </c>
      <c r="B1287" s="7" t="s">
        <v>2337</v>
      </c>
      <c r="C1287" s="10"/>
      <c r="D1287" s="6" t="s">
        <v>44</v>
      </c>
      <c r="E1287" s="6" t="s">
        <v>955</v>
      </c>
      <c r="F1287" s="11" t="s">
        <v>2338</v>
      </c>
      <c r="G1287" s="49" t="s">
        <v>2310</v>
      </c>
    </row>
    <row r="1288">
      <c r="A1288" s="7" t="s">
        <v>2339</v>
      </c>
      <c r="B1288" s="7" t="s">
        <v>2340</v>
      </c>
      <c r="C1288" s="10"/>
      <c r="D1288" s="10" t="s">
        <v>36</v>
      </c>
      <c r="E1288" s="6" t="s">
        <v>955</v>
      </c>
      <c r="F1288" s="11" t="s">
        <v>36</v>
      </c>
      <c r="G1288" s="49" t="s">
        <v>2295</v>
      </c>
    </row>
    <row r="1289">
      <c r="A1289" s="7" t="s">
        <v>2320</v>
      </c>
      <c r="B1289" s="7" t="s">
        <v>2318</v>
      </c>
      <c r="C1289" s="10"/>
      <c r="D1289" s="10" t="s">
        <v>2282</v>
      </c>
      <c r="E1289" s="6" t="s">
        <v>955</v>
      </c>
      <c r="F1289" s="11" t="s">
        <v>36</v>
      </c>
      <c r="G1289" s="49" t="s">
        <v>2310</v>
      </c>
    </row>
    <row r="1290">
      <c r="A1290" s="7" t="s">
        <v>2320</v>
      </c>
      <c r="B1290" s="88" t="s">
        <v>2341</v>
      </c>
      <c r="C1290" s="9">
        <v>43917.0</v>
      </c>
      <c r="D1290" s="6" t="s">
        <v>2319</v>
      </c>
      <c r="E1290" s="6" t="s">
        <v>955</v>
      </c>
      <c r="F1290" s="11" t="s">
        <v>36</v>
      </c>
      <c r="G1290" s="12" t="s">
        <v>2310</v>
      </c>
    </row>
    <row r="1291">
      <c r="A1291" s="7" t="s">
        <v>2320</v>
      </c>
      <c r="B1291" s="7" t="s">
        <v>2342</v>
      </c>
      <c r="C1291" s="10"/>
      <c r="D1291" s="10" t="s">
        <v>2282</v>
      </c>
      <c r="E1291" s="6" t="s">
        <v>955</v>
      </c>
      <c r="F1291" s="11" t="s">
        <v>36</v>
      </c>
      <c r="G1291" s="49" t="s">
        <v>2284</v>
      </c>
    </row>
    <row r="1292">
      <c r="A1292" s="88" t="s">
        <v>2299</v>
      </c>
      <c r="B1292" s="88" t="s">
        <v>2343</v>
      </c>
      <c r="C1292" s="9"/>
      <c r="D1292" s="6" t="s">
        <v>818</v>
      </c>
      <c r="E1292" s="6" t="s">
        <v>955</v>
      </c>
      <c r="F1292" s="11" t="s">
        <v>36</v>
      </c>
      <c r="G1292" s="12" t="s">
        <v>2267</v>
      </c>
    </row>
    <row r="1293">
      <c r="A1293" s="88" t="s">
        <v>2299</v>
      </c>
      <c r="B1293" s="88" t="s">
        <v>2344</v>
      </c>
      <c r="C1293" s="9"/>
      <c r="D1293" s="6" t="s">
        <v>36</v>
      </c>
      <c r="E1293" s="6" t="s">
        <v>955</v>
      </c>
      <c r="F1293" s="11" t="s">
        <v>36</v>
      </c>
      <c r="G1293" s="12" t="s">
        <v>2312</v>
      </c>
    </row>
    <row r="1294">
      <c r="A1294" s="88" t="s">
        <v>2299</v>
      </c>
      <c r="B1294" s="88" t="s">
        <v>2345</v>
      </c>
      <c r="C1294" s="9"/>
      <c r="D1294" s="6" t="s">
        <v>36</v>
      </c>
      <c r="E1294" s="6" t="s">
        <v>955</v>
      </c>
      <c r="F1294" s="11" t="s">
        <v>36</v>
      </c>
      <c r="G1294" s="12" t="s">
        <v>2312</v>
      </c>
    </row>
    <row r="1295">
      <c r="A1295" s="88" t="s">
        <v>2343</v>
      </c>
      <c r="B1295" s="88" t="s">
        <v>2344</v>
      </c>
      <c r="C1295" s="9"/>
      <c r="D1295" s="6" t="s">
        <v>44</v>
      </c>
      <c r="E1295" s="6" t="s">
        <v>955</v>
      </c>
      <c r="F1295" s="6" t="s">
        <v>2346</v>
      </c>
      <c r="G1295" s="12" t="s">
        <v>2312</v>
      </c>
    </row>
    <row r="1296">
      <c r="A1296" s="88" t="s">
        <v>2343</v>
      </c>
      <c r="B1296" s="88" t="s">
        <v>2345</v>
      </c>
      <c r="C1296" s="9"/>
      <c r="D1296" s="6" t="s">
        <v>1200</v>
      </c>
      <c r="E1296" s="6" t="s">
        <v>955</v>
      </c>
      <c r="F1296" s="6" t="s">
        <v>2346</v>
      </c>
      <c r="G1296" s="12" t="s">
        <v>2312</v>
      </c>
    </row>
    <row r="1297">
      <c r="A1297" s="88" t="s">
        <v>2347</v>
      </c>
      <c r="B1297" s="88" t="s">
        <v>2348</v>
      </c>
      <c r="C1297" s="9"/>
      <c r="D1297" s="6" t="s">
        <v>1672</v>
      </c>
      <c r="E1297" s="6" t="s">
        <v>955</v>
      </c>
      <c r="F1297" s="6" t="s">
        <v>2349</v>
      </c>
      <c r="G1297" s="12" t="s">
        <v>2350</v>
      </c>
    </row>
    <row r="1298">
      <c r="A1298" s="88" t="s">
        <v>2347</v>
      </c>
      <c r="B1298" s="88" t="s">
        <v>2351</v>
      </c>
      <c r="C1298" s="9"/>
      <c r="D1298" s="6" t="s">
        <v>2352</v>
      </c>
      <c r="E1298" s="6" t="s">
        <v>955</v>
      </c>
      <c r="F1298" s="6" t="s">
        <v>2349</v>
      </c>
      <c r="G1298" s="12" t="s">
        <v>2350</v>
      </c>
    </row>
    <row r="1299">
      <c r="A1299" s="88" t="s">
        <v>2347</v>
      </c>
      <c r="B1299" s="88" t="s">
        <v>2353</v>
      </c>
      <c r="C1299" s="9"/>
      <c r="D1299" s="6" t="s">
        <v>2352</v>
      </c>
      <c r="E1299" s="6" t="s">
        <v>955</v>
      </c>
      <c r="F1299" s="6" t="s">
        <v>2349</v>
      </c>
      <c r="G1299" s="12" t="s">
        <v>2350</v>
      </c>
    </row>
    <row r="1300">
      <c r="A1300" s="7" t="s">
        <v>2311</v>
      </c>
      <c r="B1300" s="7" t="s">
        <v>2309</v>
      </c>
      <c r="C1300" s="10"/>
      <c r="D1300" s="10" t="s">
        <v>2282</v>
      </c>
      <c r="E1300" s="6" t="s">
        <v>955</v>
      </c>
      <c r="F1300" s="11" t="s">
        <v>36</v>
      </c>
      <c r="G1300" s="49" t="s">
        <v>2310</v>
      </c>
    </row>
    <row r="1301">
      <c r="A1301" s="130" t="s">
        <v>1009</v>
      </c>
      <c r="B1301" s="130" t="s">
        <v>2354</v>
      </c>
      <c r="C1301" s="9"/>
      <c r="D1301" s="6" t="s">
        <v>36</v>
      </c>
      <c r="E1301" s="10" t="s">
        <v>997</v>
      </c>
      <c r="F1301" s="11" t="s">
        <v>36</v>
      </c>
      <c r="G1301" s="68" t="s">
        <v>2355</v>
      </c>
    </row>
    <row r="1302">
      <c r="A1302" s="130" t="s">
        <v>1009</v>
      </c>
      <c r="B1302" s="130" t="s">
        <v>2356</v>
      </c>
      <c r="C1302" s="9"/>
      <c r="D1302" s="6" t="s">
        <v>36</v>
      </c>
      <c r="E1302" s="10" t="s">
        <v>997</v>
      </c>
      <c r="F1302" s="11" t="s">
        <v>36</v>
      </c>
      <c r="G1302" s="49" t="s">
        <v>2357</v>
      </c>
    </row>
    <row r="1303">
      <c r="A1303" s="130" t="s">
        <v>1072</v>
      </c>
      <c r="B1303" s="130" t="s">
        <v>2358</v>
      </c>
      <c r="C1303" s="9"/>
      <c r="D1303" s="10" t="s">
        <v>36</v>
      </c>
      <c r="E1303" s="10" t="s">
        <v>997</v>
      </c>
      <c r="F1303" s="11" t="s">
        <v>36</v>
      </c>
      <c r="G1303" s="68" t="s">
        <v>2359</v>
      </c>
    </row>
    <row r="1304">
      <c r="A1304" s="130" t="s">
        <v>2360</v>
      </c>
      <c r="B1304" s="130" t="s">
        <v>2361</v>
      </c>
      <c r="C1304" s="9"/>
      <c r="D1304" s="6" t="s">
        <v>36</v>
      </c>
      <c r="E1304" s="10" t="s">
        <v>997</v>
      </c>
      <c r="F1304" s="11" t="s">
        <v>36</v>
      </c>
      <c r="G1304" s="68" t="s">
        <v>2362</v>
      </c>
    </row>
    <row r="1305">
      <c r="A1305" s="130" t="s">
        <v>2363</v>
      </c>
      <c r="B1305" s="130" t="s">
        <v>2361</v>
      </c>
      <c r="C1305" s="9"/>
      <c r="D1305" s="6" t="s">
        <v>36</v>
      </c>
      <c r="E1305" s="10" t="s">
        <v>997</v>
      </c>
      <c r="F1305" s="11" t="s">
        <v>36</v>
      </c>
      <c r="G1305" s="68" t="s">
        <v>2362</v>
      </c>
    </row>
    <row r="1306">
      <c r="A1306" s="130" t="s">
        <v>2364</v>
      </c>
      <c r="B1306" s="130" t="s">
        <v>2365</v>
      </c>
      <c r="C1306" s="9"/>
      <c r="D1306" s="6" t="s">
        <v>36</v>
      </c>
      <c r="E1306" s="10" t="s">
        <v>997</v>
      </c>
      <c r="F1306" s="11" t="s">
        <v>36</v>
      </c>
      <c r="G1306" s="68" t="s">
        <v>2366</v>
      </c>
    </row>
    <row r="1307">
      <c r="A1307" s="130" t="s">
        <v>2367</v>
      </c>
      <c r="B1307" s="130" t="s">
        <v>2368</v>
      </c>
      <c r="C1307" s="9"/>
      <c r="D1307" s="6" t="s">
        <v>36</v>
      </c>
      <c r="E1307" s="10" t="s">
        <v>997</v>
      </c>
      <c r="F1307" s="11" t="s">
        <v>36</v>
      </c>
      <c r="G1307" s="68" t="s">
        <v>2369</v>
      </c>
    </row>
    <row r="1308">
      <c r="A1308" s="130" t="s">
        <v>2370</v>
      </c>
      <c r="B1308" s="130" t="s">
        <v>2371</v>
      </c>
      <c r="C1308" s="9">
        <v>43915.0</v>
      </c>
      <c r="D1308" s="6" t="s">
        <v>2372</v>
      </c>
      <c r="E1308" s="10" t="s">
        <v>997</v>
      </c>
      <c r="F1308" s="11" t="s">
        <v>36</v>
      </c>
      <c r="G1308" s="68" t="s">
        <v>2373</v>
      </c>
    </row>
    <row r="1309">
      <c r="A1309" s="130" t="s">
        <v>2374</v>
      </c>
      <c r="B1309" s="130" t="s">
        <v>2375</v>
      </c>
      <c r="C1309" s="9"/>
      <c r="D1309" s="6" t="s">
        <v>2376</v>
      </c>
      <c r="E1309" s="10" t="s">
        <v>997</v>
      </c>
      <c r="F1309" s="11" t="s">
        <v>2377</v>
      </c>
      <c r="G1309" s="68" t="s">
        <v>2378</v>
      </c>
    </row>
    <row r="1310">
      <c r="A1310" s="130" t="s">
        <v>2374</v>
      </c>
      <c r="B1310" s="130" t="s">
        <v>2379</v>
      </c>
      <c r="C1310" s="9"/>
      <c r="D1310" s="6" t="s">
        <v>2376</v>
      </c>
      <c r="E1310" s="10" t="s">
        <v>997</v>
      </c>
      <c r="F1310" s="11" t="s">
        <v>2377</v>
      </c>
      <c r="G1310" s="49" t="s">
        <v>2380</v>
      </c>
    </row>
    <row r="1311">
      <c r="A1311" s="130" t="s">
        <v>2374</v>
      </c>
      <c r="B1311" s="130" t="s">
        <v>2381</v>
      </c>
      <c r="C1311" s="9"/>
      <c r="D1311" s="6" t="s">
        <v>2376</v>
      </c>
      <c r="E1311" s="10" t="s">
        <v>997</v>
      </c>
      <c r="F1311" s="11" t="s">
        <v>2377</v>
      </c>
      <c r="G1311" s="68" t="s">
        <v>2382</v>
      </c>
    </row>
    <row r="1312">
      <c r="A1312" s="130" t="s">
        <v>2374</v>
      </c>
      <c r="B1312" s="130" t="s">
        <v>2383</v>
      </c>
      <c r="C1312" s="9"/>
      <c r="D1312" s="6" t="s">
        <v>2376</v>
      </c>
      <c r="E1312" s="10" t="s">
        <v>997</v>
      </c>
      <c r="F1312" s="11" t="s">
        <v>2377</v>
      </c>
      <c r="G1312" s="49" t="s">
        <v>2384</v>
      </c>
    </row>
    <row r="1313">
      <c r="A1313" s="130" t="s">
        <v>2374</v>
      </c>
      <c r="B1313" s="130" t="s">
        <v>2385</v>
      </c>
      <c r="C1313" s="9"/>
      <c r="D1313" s="6" t="s">
        <v>2376</v>
      </c>
      <c r="E1313" s="10" t="s">
        <v>997</v>
      </c>
      <c r="F1313" s="11" t="s">
        <v>2377</v>
      </c>
      <c r="G1313" s="49" t="s">
        <v>2386</v>
      </c>
    </row>
    <row r="1314">
      <c r="A1314" s="130" t="s">
        <v>2374</v>
      </c>
      <c r="B1314" s="130" t="s">
        <v>2387</v>
      </c>
      <c r="C1314" s="9"/>
      <c r="D1314" s="6" t="s">
        <v>2376</v>
      </c>
      <c r="E1314" s="10" t="s">
        <v>997</v>
      </c>
      <c r="F1314" s="11" t="s">
        <v>2377</v>
      </c>
      <c r="G1314" s="49" t="s">
        <v>2388</v>
      </c>
    </row>
    <row r="1315">
      <c r="A1315" s="130" t="s">
        <v>2374</v>
      </c>
      <c r="B1315" s="130" t="s">
        <v>2389</v>
      </c>
      <c r="C1315" s="9"/>
      <c r="D1315" s="6" t="s">
        <v>2376</v>
      </c>
      <c r="E1315" s="10" t="s">
        <v>997</v>
      </c>
      <c r="F1315" s="11" t="s">
        <v>2377</v>
      </c>
      <c r="G1315" s="49" t="s">
        <v>2390</v>
      </c>
    </row>
    <row r="1316">
      <c r="A1316" s="130" t="s">
        <v>2374</v>
      </c>
      <c r="B1316" s="130" t="s">
        <v>2391</v>
      </c>
      <c r="C1316" s="9"/>
      <c r="D1316" s="6" t="s">
        <v>2376</v>
      </c>
      <c r="E1316" s="10" t="s">
        <v>997</v>
      </c>
      <c r="F1316" s="11" t="s">
        <v>2377</v>
      </c>
      <c r="G1316" s="49" t="s">
        <v>2390</v>
      </c>
    </row>
    <row r="1317">
      <c r="A1317" s="130" t="s">
        <v>2374</v>
      </c>
      <c r="B1317" s="130" t="s">
        <v>2392</v>
      </c>
      <c r="C1317" s="9"/>
      <c r="D1317" s="6" t="s">
        <v>2376</v>
      </c>
      <c r="E1317" s="10" t="s">
        <v>997</v>
      </c>
      <c r="F1317" s="11" t="s">
        <v>2377</v>
      </c>
      <c r="G1317" s="49" t="s">
        <v>2390</v>
      </c>
    </row>
    <row r="1318">
      <c r="A1318" s="130" t="s">
        <v>2374</v>
      </c>
      <c r="B1318" s="130" t="s">
        <v>2393</v>
      </c>
      <c r="C1318" s="9"/>
      <c r="D1318" s="6" t="s">
        <v>2376</v>
      </c>
      <c r="E1318" s="10" t="s">
        <v>997</v>
      </c>
      <c r="F1318" s="11" t="s">
        <v>2377</v>
      </c>
      <c r="G1318" s="49" t="s">
        <v>2394</v>
      </c>
    </row>
    <row r="1319">
      <c r="A1319" s="130" t="s">
        <v>2374</v>
      </c>
      <c r="B1319" s="130" t="s">
        <v>2395</v>
      </c>
      <c r="C1319" s="9">
        <v>43913.0</v>
      </c>
      <c r="D1319" s="6" t="s">
        <v>538</v>
      </c>
      <c r="E1319" s="10" t="s">
        <v>997</v>
      </c>
      <c r="F1319" s="11" t="s">
        <v>2377</v>
      </c>
      <c r="G1319" s="68" t="s">
        <v>2396</v>
      </c>
    </row>
    <row r="1320">
      <c r="A1320" s="130" t="s">
        <v>2374</v>
      </c>
      <c r="B1320" s="130" t="s">
        <v>2397</v>
      </c>
      <c r="C1320" s="9">
        <v>43916.0</v>
      </c>
      <c r="D1320" s="6" t="s">
        <v>538</v>
      </c>
      <c r="E1320" s="10" t="s">
        <v>997</v>
      </c>
      <c r="F1320" s="11" t="s">
        <v>2377</v>
      </c>
      <c r="G1320" s="68" t="s">
        <v>2398</v>
      </c>
    </row>
    <row r="1321">
      <c r="A1321" s="130" t="s">
        <v>2374</v>
      </c>
      <c r="B1321" s="130" t="s">
        <v>2399</v>
      </c>
      <c r="C1321" s="9">
        <v>43916.0</v>
      </c>
      <c r="D1321" s="6" t="s">
        <v>538</v>
      </c>
      <c r="E1321" s="10" t="s">
        <v>997</v>
      </c>
      <c r="F1321" s="11" t="s">
        <v>2377</v>
      </c>
      <c r="G1321" s="68" t="s">
        <v>2373</v>
      </c>
    </row>
    <row r="1322">
      <c r="A1322" s="130" t="s">
        <v>2400</v>
      </c>
      <c r="B1322" s="130" t="s">
        <v>2401</v>
      </c>
      <c r="C1322" s="9"/>
      <c r="D1322" s="6" t="s">
        <v>2376</v>
      </c>
      <c r="E1322" s="10" t="s">
        <v>997</v>
      </c>
      <c r="F1322" s="11" t="s">
        <v>2402</v>
      </c>
      <c r="G1322" s="68" t="s">
        <v>2403</v>
      </c>
    </row>
    <row r="1323">
      <c r="A1323" s="130" t="s">
        <v>2400</v>
      </c>
      <c r="B1323" s="130" t="s">
        <v>2404</v>
      </c>
      <c r="C1323" s="9"/>
      <c r="D1323" s="6" t="s">
        <v>2376</v>
      </c>
      <c r="E1323" s="10" t="s">
        <v>997</v>
      </c>
      <c r="F1323" s="11" t="s">
        <v>2402</v>
      </c>
      <c r="G1323" s="68" t="s">
        <v>2405</v>
      </c>
    </row>
    <row r="1324">
      <c r="A1324" s="130" t="s">
        <v>2400</v>
      </c>
      <c r="B1324" s="130" t="s">
        <v>2406</v>
      </c>
      <c r="C1324" s="9"/>
      <c r="D1324" s="6" t="s">
        <v>2376</v>
      </c>
      <c r="E1324" s="10" t="s">
        <v>997</v>
      </c>
      <c r="F1324" s="11" t="s">
        <v>2402</v>
      </c>
      <c r="G1324" s="68" t="s">
        <v>2407</v>
      </c>
    </row>
    <row r="1325">
      <c r="A1325" s="130" t="s">
        <v>2400</v>
      </c>
      <c r="B1325" s="130" t="s">
        <v>2408</v>
      </c>
      <c r="C1325" s="9"/>
      <c r="D1325" s="6" t="s">
        <v>2376</v>
      </c>
      <c r="E1325" s="10" t="s">
        <v>997</v>
      </c>
      <c r="F1325" s="11" t="s">
        <v>2402</v>
      </c>
      <c r="G1325" s="49" t="s">
        <v>2409</v>
      </c>
    </row>
    <row r="1326">
      <c r="A1326" s="130" t="s">
        <v>2400</v>
      </c>
      <c r="B1326" s="130" t="s">
        <v>2410</v>
      </c>
      <c r="C1326" s="9"/>
      <c r="D1326" s="6" t="s">
        <v>2376</v>
      </c>
      <c r="E1326" s="10" t="s">
        <v>997</v>
      </c>
      <c r="F1326" s="11" t="s">
        <v>2402</v>
      </c>
      <c r="G1326" s="49" t="s">
        <v>2411</v>
      </c>
    </row>
    <row r="1327">
      <c r="A1327" s="130" t="s">
        <v>2400</v>
      </c>
      <c r="B1327" s="130" t="s">
        <v>2412</v>
      </c>
      <c r="C1327" s="9"/>
      <c r="D1327" s="6" t="s">
        <v>2376</v>
      </c>
      <c r="E1327" s="10" t="s">
        <v>997</v>
      </c>
      <c r="F1327" s="11" t="s">
        <v>2402</v>
      </c>
      <c r="G1327" s="49" t="s">
        <v>2413</v>
      </c>
    </row>
    <row r="1328">
      <c r="A1328" s="130" t="s">
        <v>2401</v>
      </c>
      <c r="B1328" s="130" t="s">
        <v>2404</v>
      </c>
      <c r="C1328" s="9"/>
      <c r="D1328" s="6" t="s">
        <v>165</v>
      </c>
      <c r="E1328" s="10" t="s">
        <v>997</v>
      </c>
      <c r="F1328" s="11" t="s">
        <v>2414</v>
      </c>
      <c r="G1328" s="68" t="s">
        <v>2403</v>
      </c>
    </row>
    <row r="1329">
      <c r="A1329" s="130" t="s">
        <v>2406</v>
      </c>
      <c r="B1329" s="130" t="s">
        <v>2415</v>
      </c>
      <c r="C1329" s="9"/>
      <c r="D1329" s="6" t="s">
        <v>36</v>
      </c>
      <c r="E1329" s="10" t="s">
        <v>997</v>
      </c>
      <c r="F1329" s="11" t="s">
        <v>36</v>
      </c>
      <c r="G1329" s="49" t="s">
        <v>2416</v>
      </c>
    </row>
    <row r="1330">
      <c r="A1330" s="94" t="s">
        <v>2417</v>
      </c>
      <c r="B1330" s="94" t="s">
        <v>2418</v>
      </c>
      <c r="C1330" s="9">
        <v>43909.0</v>
      </c>
      <c r="D1330" s="6" t="s">
        <v>942</v>
      </c>
      <c r="E1330" s="10" t="s">
        <v>943</v>
      </c>
      <c r="F1330" s="11" t="s">
        <v>2419</v>
      </c>
      <c r="G1330" s="68" t="s">
        <v>2420</v>
      </c>
    </row>
    <row r="1331">
      <c r="A1331" s="94" t="s">
        <v>2417</v>
      </c>
      <c r="B1331" s="94" t="s">
        <v>2421</v>
      </c>
      <c r="C1331" s="9">
        <v>43909.0</v>
      </c>
      <c r="D1331" s="6" t="s">
        <v>942</v>
      </c>
      <c r="E1331" s="10" t="s">
        <v>943</v>
      </c>
      <c r="F1331" s="11" t="s">
        <v>2419</v>
      </c>
      <c r="G1331" s="49" t="s">
        <v>2420</v>
      </c>
    </row>
    <row r="1332">
      <c r="A1332" s="94" t="s">
        <v>1180</v>
      </c>
      <c r="B1332" s="94" t="s">
        <v>2422</v>
      </c>
      <c r="C1332" s="10" t="s">
        <v>36</v>
      </c>
      <c r="D1332" s="6" t="s">
        <v>36</v>
      </c>
      <c r="E1332" s="10" t="s">
        <v>943</v>
      </c>
      <c r="F1332" s="11" t="s">
        <v>36</v>
      </c>
      <c r="G1332" s="68" t="s">
        <v>2423</v>
      </c>
    </row>
    <row r="1333">
      <c r="A1333" s="94" t="s">
        <v>1183</v>
      </c>
      <c r="B1333" s="94" t="s">
        <v>2424</v>
      </c>
      <c r="C1333" s="10" t="s">
        <v>36</v>
      </c>
      <c r="D1333" s="6" t="s">
        <v>36</v>
      </c>
      <c r="E1333" s="10" t="s">
        <v>943</v>
      </c>
      <c r="F1333" s="6" t="s">
        <v>36</v>
      </c>
      <c r="G1333" s="68" t="s">
        <v>2423</v>
      </c>
    </row>
    <row r="1334">
      <c r="A1334" s="94" t="s">
        <v>1184</v>
      </c>
      <c r="B1334" s="94" t="s">
        <v>2425</v>
      </c>
      <c r="C1334" s="9">
        <v>43913.0</v>
      </c>
      <c r="D1334" s="6" t="s">
        <v>942</v>
      </c>
      <c r="E1334" s="10" t="s">
        <v>943</v>
      </c>
      <c r="F1334" s="6" t="s">
        <v>1187</v>
      </c>
      <c r="G1334" s="49" t="s">
        <v>2420</v>
      </c>
    </row>
    <row r="1335">
      <c r="A1335" s="94" t="s">
        <v>1184</v>
      </c>
      <c r="B1335" s="94" t="s">
        <v>2426</v>
      </c>
      <c r="C1335" s="9">
        <v>43913.0</v>
      </c>
      <c r="D1335" s="6" t="s">
        <v>942</v>
      </c>
      <c r="E1335" s="10" t="s">
        <v>943</v>
      </c>
      <c r="F1335" s="6" t="s">
        <v>1187</v>
      </c>
      <c r="G1335" s="49" t="s">
        <v>2420</v>
      </c>
    </row>
    <row r="1336">
      <c r="A1336" s="94" t="s">
        <v>1184</v>
      </c>
      <c r="B1336" s="94" t="s">
        <v>2427</v>
      </c>
      <c r="C1336" s="9">
        <v>43913.0</v>
      </c>
      <c r="D1336" s="6" t="s">
        <v>942</v>
      </c>
      <c r="E1336" s="10" t="s">
        <v>943</v>
      </c>
      <c r="F1336" s="6" t="s">
        <v>1187</v>
      </c>
      <c r="G1336" s="49" t="s">
        <v>2420</v>
      </c>
    </row>
    <row r="1337">
      <c r="A1337" s="94" t="s">
        <v>1184</v>
      </c>
      <c r="B1337" s="94" t="s">
        <v>2428</v>
      </c>
      <c r="C1337" s="9">
        <v>43913.0</v>
      </c>
      <c r="D1337" s="6" t="s">
        <v>942</v>
      </c>
      <c r="E1337" s="10" t="s">
        <v>943</v>
      </c>
      <c r="F1337" s="6" t="s">
        <v>1187</v>
      </c>
      <c r="G1337" s="49" t="s">
        <v>2420</v>
      </c>
    </row>
    <row r="1338">
      <c r="A1338" s="94" t="s">
        <v>1184</v>
      </c>
      <c r="B1338" s="94" t="s">
        <v>2429</v>
      </c>
      <c r="C1338" s="9">
        <v>43913.0</v>
      </c>
      <c r="D1338" s="6" t="s">
        <v>942</v>
      </c>
      <c r="E1338" s="10" t="s">
        <v>943</v>
      </c>
      <c r="F1338" s="6" t="s">
        <v>1187</v>
      </c>
      <c r="G1338" s="49" t="s">
        <v>2420</v>
      </c>
    </row>
    <row r="1339">
      <c r="A1339" s="94" t="s">
        <v>1192</v>
      </c>
      <c r="B1339" s="94" t="s">
        <v>2430</v>
      </c>
      <c r="C1339" s="10" t="s">
        <v>36</v>
      </c>
      <c r="D1339" s="6" t="s">
        <v>36</v>
      </c>
      <c r="E1339" s="10" t="s">
        <v>943</v>
      </c>
      <c r="F1339" s="11" t="s">
        <v>36</v>
      </c>
      <c r="G1339" s="49" t="s">
        <v>2423</v>
      </c>
    </row>
    <row r="1340">
      <c r="A1340" s="94" t="s">
        <v>1185</v>
      </c>
      <c r="B1340" s="94" t="s">
        <v>2431</v>
      </c>
      <c r="C1340" s="10" t="s">
        <v>36</v>
      </c>
      <c r="D1340" s="10" t="s">
        <v>308</v>
      </c>
      <c r="E1340" s="10" t="s">
        <v>943</v>
      </c>
      <c r="F1340" s="11" t="s">
        <v>36</v>
      </c>
      <c r="G1340" s="49" t="s">
        <v>2432</v>
      </c>
    </row>
    <row r="1341">
      <c r="A1341" s="15" t="s">
        <v>2433</v>
      </c>
      <c r="B1341" s="15" t="s">
        <v>941</v>
      </c>
      <c r="C1341" s="9">
        <v>43911.0</v>
      </c>
      <c r="D1341" s="6" t="s">
        <v>942</v>
      </c>
      <c r="E1341" s="10" t="s">
        <v>943</v>
      </c>
      <c r="F1341" s="11" t="s">
        <v>944</v>
      </c>
      <c r="G1341" s="11" t="s">
        <v>944</v>
      </c>
    </row>
    <row r="1342">
      <c r="A1342" s="94" t="s">
        <v>1184</v>
      </c>
      <c r="B1342" s="86" t="s">
        <v>2434</v>
      </c>
      <c r="C1342" s="9">
        <v>43913.0</v>
      </c>
      <c r="D1342" s="6" t="s">
        <v>1186</v>
      </c>
      <c r="E1342" s="10" t="s">
        <v>943</v>
      </c>
      <c r="F1342" s="6" t="s">
        <v>1187</v>
      </c>
      <c r="G1342" s="49" t="s">
        <v>2423</v>
      </c>
    </row>
    <row r="1343" ht="18.0" customHeight="1">
      <c r="A1343" s="94" t="s">
        <v>1180</v>
      </c>
      <c r="B1343" s="94" t="s">
        <v>2422</v>
      </c>
      <c r="C1343" s="10" t="s">
        <v>36</v>
      </c>
      <c r="D1343" s="6" t="s">
        <v>36</v>
      </c>
      <c r="E1343" s="10" t="s">
        <v>943</v>
      </c>
      <c r="F1343" s="11" t="s">
        <v>36</v>
      </c>
      <c r="G1343" s="49" t="s">
        <v>2423</v>
      </c>
    </row>
    <row r="1344" ht="18.0" customHeight="1">
      <c r="A1344" s="94" t="s">
        <v>1192</v>
      </c>
      <c r="B1344" s="94" t="s">
        <v>2430</v>
      </c>
      <c r="C1344" s="10" t="s">
        <v>36</v>
      </c>
      <c r="D1344" s="6" t="s">
        <v>36</v>
      </c>
      <c r="E1344" s="10"/>
      <c r="F1344" s="11"/>
      <c r="G1344" s="11"/>
    </row>
    <row r="1345">
      <c r="A1345" s="94" t="s">
        <v>1185</v>
      </c>
      <c r="B1345" s="94" t="s">
        <v>2431</v>
      </c>
      <c r="C1345" s="10" t="s">
        <v>36</v>
      </c>
      <c r="D1345" s="10" t="s">
        <v>308</v>
      </c>
      <c r="E1345" s="10" t="s">
        <v>943</v>
      </c>
      <c r="F1345" s="11" t="s">
        <v>36</v>
      </c>
      <c r="G1345" s="49" t="s">
        <v>2432</v>
      </c>
    </row>
    <row r="1346">
      <c r="A1346" s="15" t="s">
        <v>2433</v>
      </c>
      <c r="B1346" s="86" t="s">
        <v>941</v>
      </c>
      <c r="C1346" s="9">
        <v>43911.0</v>
      </c>
      <c r="D1346" s="6" t="s">
        <v>942</v>
      </c>
      <c r="E1346" s="10" t="s">
        <v>943</v>
      </c>
      <c r="F1346" s="11" t="s">
        <v>944</v>
      </c>
      <c r="G1346" s="12" t="s">
        <v>2423</v>
      </c>
    </row>
    <row r="1347">
      <c r="A1347" s="7" t="s">
        <v>2092</v>
      </c>
      <c r="B1347" s="8" t="s">
        <v>2435</v>
      </c>
      <c r="C1347" s="61">
        <v>43922.0</v>
      </c>
      <c r="D1347" s="10" t="s">
        <v>2282</v>
      </c>
      <c r="E1347" s="123" t="s">
        <v>2087</v>
      </c>
      <c r="F1347" s="11"/>
      <c r="G1347" s="12" t="s">
        <v>2436</v>
      </c>
    </row>
    <row r="1348">
      <c r="A1348" s="7" t="s">
        <v>2437</v>
      </c>
      <c r="B1348" s="8" t="s">
        <v>2438</v>
      </c>
      <c r="C1348" s="9"/>
      <c r="D1348" s="10" t="s">
        <v>44</v>
      </c>
      <c r="E1348" s="123" t="s">
        <v>2058</v>
      </c>
      <c r="F1348" s="11"/>
      <c r="G1348" s="12" t="s">
        <v>2439</v>
      </c>
    </row>
    <row r="1349">
      <c r="A1349" s="7" t="s">
        <v>1810</v>
      </c>
      <c r="B1349" s="7" t="s">
        <v>2440</v>
      </c>
      <c r="C1349" s="10"/>
      <c r="D1349" s="10" t="s">
        <v>36</v>
      </c>
      <c r="E1349" s="6" t="s">
        <v>1775</v>
      </c>
      <c r="F1349" s="11"/>
      <c r="G1349" s="49" t="s">
        <v>1804</v>
      </c>
    </row>
    <row r="1350">
      <c r="A1350" s="15" t="s">
        <v>2441</v>
      </c>
      <c r="B1350" s="15" t="s">
        <v>2442</v>
      </c>
      <c r="C1350" s="10" t="s">
        <v>36</v>
      </c>
      <c r="D1350" s="10" t="s">
        <v>36</v>
      </c>
      <c r="E1350" s="10" t="s">
        <v>1567</v>
      </c>
      <c r="F1350" s="11" t="s">
        <v>36</v>
      </c>
      <c r="G1350" s="49" t="s">
        <v>2443</v>
      </c>
    </row>
    <row r="1351">
      <c r="A1351" s="15" t="s">
        <v>2442</v>
      </c>
      <c r="B1351" s="8" t="s">
        <v>2444</v>
      </c>
      <c r="C1351" s="9"/>
      <c r="D1351" s="10" t="s">
        <v>30</v>
      </c>
      <c r="E1351" s="10" t="s">
        <v>1567</v>
      </c>
      <c r="F1351" s="11" t="s">
        <v>587</v>
      </c>
      <c r="G1351" s="49" t="s">
        <v>2443</v>
      </c>
    </row>
    <row r="1352">
      <c r="A1352" s="15" t="s">
        <v>2445</v>
      </c>
      <c r="B1352" s="8" t="s">
        <v>2446</v>
      </c>
      <c r="C1352" s="9"/>
      <c r="D1352" s="66" t="s">
        <v>36</v>
      </c>
      <c r="E1352" s="55" t="s">
        <v>829</v>
      </c>
      <c r="F1352" s="84" t="s">
        <v>36</v>
      </c>
      <c r="G1352" s="44" t="s">
        <v>2447</v>
      </c>
    </row>
    <row r="1353">
      <c r="A1353" s="15" t="s">
        <v>2448</v>
      </c>
      <c r="B1353" s="8" t="s">
        <v>2446</v>
      </c>
      <c r="C1353" s="9"/>
      <c r="D1353" s="66" t="s">
        <v>36</v>
      </c>
      <c r="E1353" s="55" t="s">
        <v>829</v>
      </c>
      <c r="F1353" s="84" t="s">
        <v>36</v>
      </c>
      <c r="G1353" s="44" t="s">
        <v>2447</v>
      </c>
    </row>
    <row r="1354">
      <c r="A1354" s="15" t="s">
        <v>2449</v>
      </c>
      <c r="B1354" s="86" t="s">
        <v>2450</v>
      </c>
      <c r="C1354" s="9"/>
      <c r="D1354" s="6" t="s">
        <v>2451</v>
      </c>
      <c r="E1354" s="6" t="s">
        <v>2452</v>
      </c>
      <c r="F1354" s="6" t="s">
        <v>2453</v>
      </c>
      <c r="G1354" s="12" t="s">
        <v>2454</v>
      </c>
      <c r="Y1354" s="4"/>
      <c r="Z1354" s="4"/>
    </row>
    <row r="1355">
      <c r="A1355" s="15" t="s">
        <v>2455</v>
      </c>
      <c r="B1355" s="86" t="s">
        <v>2456</v>
      </c>
      <c r="C1355" s="9"/>
      <c r="D1355" s="6" t="s">
        <v>2451</v>
      </c>
      <c r="E1355" s="6" t="s">
        <v>2452</v>
      </c>
      <c r="F1355" s="6" t="s">
        <v>2453</v>
      </c>
      <c r="G1355" s="12" t="s">
        <v>2454</v>
      </c>
      <c r="Y1355" s="4"/>
      <c r="Z1355" s="4"/>
    </row>
    <row r="1356">
      <c r="A1356" s="15" t="s">
        <v>2457</v>
      </c>
      <c r="B1356" s="86" t="s">
        <v>2458</v>
      </c>
      <c r="C1356" s="9"/>
      <c r="D1356" s="6" t="s">
        <v>596</v>
      </c>
      <c r="E1356" s="6" t="s">
        <v>2452</v>
      </c>
      <c r="F1356" s="6" t="s">
        <v>2459</v>
      </c>
      <c r="G1356" s="12" t="s">
        <v>2460</v>
      </c>
      <c r="Y1356" s="4"/>
      <c r="Z1356" s="4"/>
    </row>
    <row r="1357">
      <c r="A1357" s="15" t="s">
        <v>2461</v>
      </c>
      <c r="B1357" s="86" t="s">
        <v>2458</v>
      </c>
      <c r="C1357" s="9"/>
      <c r="D1357" s="6" t="s">
        <v>596</v>
      </c>
      <c r="E1357" s="6" t="s">
        <v>2452</v>
      </c>
      <c r="F1357" s="6" t="s">
        <v>2459</v>
      </c>
      <c r="G1357" s="12" t="s">
        <v>2462</v>
      </c>
    </row>
    <row r="1358">
      <c r="A1358" s="15" t="s">
        <v>43</v>
      </c>
      <c r="B1358" s="16" t="s">
        <v>68</v>
      </c>
      <c r="C1358" s="9"/>
      <c r="D1358" s="10" t="s">
        <v>1078</v>
      </c>
      <c r="E1358" s="10" t="s">
        <v>45</v>
      </c>
      <c r="F1358" s="11" t="s">
        <v>1104</v>
      </c>
      <c r="G1358" s="64" t="s">
        <v>27</v>
      </c>
    </row>
    <row r="1359">
      <c r="A1359" s="15" t="s">
        <v>43</v>
      </c>
      <c r="B1359" s="16" t="s">
        <v>97</v>
      </c>
      <c r="C1359" s="9"/>
      <c r="D1359" s="10" t="s">
        <v>1078</v>
      </c>
      <c r="E1359" s="10" t="s">
        <v>45</v>
      </c>
      <c r="F1359" s="11" t="s">
        <v>1104</v>
      </c>
      <c r="G1359" s="68" t="s">
        <v>27</v>
      </c>
    </row>
    <row r="1360">
      <c r="A1360" s="15" t="s">
        <v>43</v>
      </c>
      <c r="B1360" s="16" t="s">
        <v>82</v>
      </c>
      <c r="C1360" s="9"/>
      <c r="D1360" s="10" t="s">
        <v>1078</v>
      </c>
      <c r="E1360" s="10" t="s">
        <v>45</v>
      </c>
      <c r="F1360" s="11" t="s">
        <v>2463</v>
      </c>
      <c r="G1360" s="68" t="s">
        <v>27</v>
      </c>
    </row>
    <row r="1361">
      <c r="B1361" s="115"/>
      <c r="C1361" s="131">
        <v>43884.0</v>
      </c>
      <c r="D1361" s="10" t="s">
        <v>36</v>
      </c>
      <c r="E1361" s="10" t="s">
        <v>588</v>
      </c>
      <c r="F1361" s="11" t="s">
        <v>355</v>
      </c>
      <c r="G1361" s="12" t="s">
        <v>2464</v>
      </c>
      <c r="I1361" s="13" t="str">
        <f>IFERROR(__xludf.DUMMYFUNCTION("if(isblank(A1361),,split(A1361,""ー""))"),"")</f>
        <v/>
      </c>
      <c r="K1361" s="13" t="str">
        <f>IFERROR(__xludf.DUMMYFUNCTION("if(isblank(B1361),,split(B1361,""ー""))"),"")</f>
        <v/>
      </c>
    </row>
    <row r="1362">
      <c r="B1362" s="115"/>
      <c r="C1362" s="9"/>
      <c r="D1362" s="10" t="s">
        <v>2465</v>
      </c>
      <c r="E1362" s="10" t="s">
        <v>588</v>
      </c>
      <c r="F1362" s="11" t="s">
        <v>2466</v>
      </c>
      <c r="G1362" s="12" t="s">
        <v>2467</v>
      </c>
      <c r="I1362" s="13" t="str">
        <f>IFERROR(__xludf.DUMMYFUNCTION("if(isblank(A1362),,split(A1362,""-""))"),"")</f>
        <v/>
      </c>
      <c r="K1362" s="13" t="str">
        <f>IFERROR(__xludf.DUMMYFUNCTION("if(isblank(B1362),,split(B1362,""-""))"),"")</f>
        <v/>
      </c>
    </row>
    <row r="1363">
      <c r="B1363" s="115"/>
      <c r="C1363" s="9"/>
      <c r="D1363" s="10" t="s">
        <v>30</v>
      </c>
      <c r="E1363" s="10" t="s">
        <v>588</v>
      </c>
      <c r="F1363" s="11" t="s">
        <v>2468</v>
      </c>
      <c r="G1363" s="12" t="s">
        <v>2469</v>
      </c>
      <c r="I1363" s="13" t="str">
        <f>IFERROR(__xludf.DUMMYFUNCTION("if(isblank(A1363),,split(A1363,""-""))"),"")</f>
        <v/>
      </c>
      <c r="K1363" s="13" t="str">
        <f>IFERROR(__xludf.DUMMYFUNCTION("if(isblank(B1363),,split(B1363,""-""))"),"")</f>
        <v/>
      </c>
    </row>
    <row r="1364">
      <c r="B1364" s="115"/>
      <c r="C1364" s="9"/>
      <c r="D1364" s="10" t="s">
        <v>30</v>
      </c>
      <c r="E1364" s="10" t="s">
        <v>588</v>
      </c>
      <c r="F1364" s="11" t="s">
        <v>2468</v>
      </c>
      <c r="G1364" s="12" t="s">
        <v>2470</v>
      </c>
      <c r="I1364" s="13" t="str">
        <f>IFERROR(__xludf.DUMMYFUNCTION("if(isblank(A1364),,split(A1364,""-""))"),"")</f>
        <v/>
      </c>
      <c r="K1364" s="13" t="str">
        <f>IFERROR(__xludf.DUMMYFUNCTION("if(isblank(B1364),,split(B1364,""-""))"),"")</f>
        <v/>
      </c>
    </row>
    <row r="1365">
      <c r="B1365" s="115"/>
      <c r="C1365" s="9"/>
      <c r="D1365" s="10" t="s">
        <v>587</v>
      </c>
      <c r="E1365" s="10" t="s">
        <v>588</v>
      </c>
      <c r="F1365" s="11" t="s">
        <v>589</v>
      </c>
      <c r="G1365" s="12" t="s">
        <v>757</v>
      </c>
      <c r="I1365" s="13" t="str">
        <f>IFERROR(__xludf.DUMMYFUNCTION("if(isblank(A1365),,split(A1365,""-""))"),"")</f>
        <v/>
      </c>
      <c r="K1365" s="13" t="str">
        <f>IFERROR(__xludf.DUMMYFUNCTION("if(isblank(B1365),,split(B1365,""-""))"),"")</f>
        <v/>
      </c>
    </row>
    <row r="1366">
      <c r="B1366" s="115"/>
      <c r="C1366" s="9"/>
      <c r="D1366" s="10" t="s">
        <v>587</v>
      </c>
      <c r="E1366" s="10" t="s">
        <v>588</v>
      </c>
      <c r="F1366" s="11" t="s">
        <v>589</v>
      </c>
      <c r="G1366" s="12" t="s">
        <v>757</v>
      </c>
      <c r="I1366" s="13" t="str">
        <f>IFERROR(__xludf.DUMMYFUNCTION("if(isblank(A1366),,split(A1366,""-""))"),"")</f>
        <v/>
      </c>
      <c r="K1366" s="13" t="str">
        <f>IFERROR(__xludf.DUMMYFUNCTION("if(isblank(B1366),,split(B1366,""-""))"),"")</f>
        <v/>
      </c>
    </row>
    <row r="1367">
      <c r="B1367" s="115"/>
      <c r="C1367" s="9"/>
      <c r="D1367" s="10" t="s">
        <v>587</v>
      </c>
      <c r="E1367" s="10" t="s">
        <v>588</v>
      </c>
      <c r="F1367" s="11" t="s">
        <v>589</v>
      </c>
      <c r="G1367" s="12" t="s">
        <v>757</v>
      </c>
      <c r="I1367" s="13" t="str">
        <f>IFERROR(__xludf.DUMMYFUNCTION("if(isblank(A1367),,split(A1367,""-""))"),"")</f>
        <v/>
      </c>
      <c r="K1367" s="13" t="str">
        <f>IFERROR(__xludf.DUMMYFUNCTION("if(isblank(B1367),,split(B1367,""-""))"),"")</f>
        <v/>
      </c>
    </row>
    <row r="1368">
      <c r="B1368" s="115"/>
      <c r="C1368" s="9"/>
      <c r="D1368" s="10" t="s">
        <v>587</v>
      </c>
      <c r="E1368" s="10" t="s">
        <v>588</v>
      </c>
      <c r="F1368" s="11" t="s">
        <v>589</v>
      </c>
      <c r="G1368" s="12" t="s">
        <v>757</v>
      </c>
      <c r="I1368" s="13" t="str">
        <f>IFERROR(__xludf.DUMMYFUNCTION("if(isblank(A1368),,split(A1368,""-""))"),"")</f>
        <v/>
      </c>
      <c r="K1368" s="13" t="str">
        <f>IFERROR(__xludf.DUMMYFUNCTION("if(isblank(B1368),,split(B1368,""-""))"),"")</f>
        <v/>
      </c>
    </row>
    <row r="1369">
      <c r="B1369" s="115"/>
      <c r="C1369" s="61"/>
      <c r="D1369" s="10" t="s">
        <v>308</v>
      </c>
      <c r="E1369" s="10" t="s">
        <v>436</v>
      </c>
      <c r="F1369" s="11" t="s">
        <v>442</v>
      </c>
      <c r="G1369" s="13"/>
      <c r="I1369" s="13" t="str">
        <f>IFERROR(__xludf.DUMMYFUNCTION("if(isblank(A1369),,split(A1369,""-""))"),"")</f>
        <v/>
      </c>
      <c r="K1369" s="13" t="str">
        <f>IFERROR(__xludf.DUMMYFUNCTION("if(isblank(B1369),,split(B1369,""-""))"),"")</f>
        <v/>
      </c>
    </row>
    <row r="1370">
      <c r="A1370" s="132"/>
      <c r="B1370" s="41"/>
      <c r="C1370" s="9"/>
      <c r="D1370" s="133"/>
      <c r="E1370" s="133"/>
      <c r="F1370" s="24"/>
      <c r="G1370" s="24"/>
      <c r="I1370" s="13" t="str">
        <f>IFERROR(__xludf.DUMMYFUNCTION("if(isblank(A1370),,split(A1370,""-""))"),"")</f>
        <v/>
      </c>
      <c r="K1370" s="13" t="str">
        <f>IFERROR(__xludf.DUMMYFUNCTION("if(isblank(B1370),,split(B1370,""-""))"),"")</f>
        <v/>
      </c>
    </row>
    <row r="1371">
      <c r="A1371" s="132"/>
      <c r="B1371" s="41"/>
      <c r="C1371" s="9"/>
      <c r="D1371" s="133"/>
      <c r="E1371" s="133"/>
      <c r="F1371" s="24"/>
      <c r="G1371" s="24"/>
      <c r="I1371" s="13" t="str">
        <f>IFERROR(__xludf.DUMMYFUNCTION("if(isblank(A1371),,split(A1371,""-""))"),"")</f>
        <v/>
      </c>
      <c r="K1371" s="13" t="str">
        <f>IFERROR(__xludf.DUMMYFUNCTION("if(isblank(B1371),,split(B1371,""-""))"),"")</f>
        <v/>
      </c>
    </row>
    <row r="1372">
      <c r="A1372" s="132"/>
      <c r="B1372" s="41"/>
      <c r="C1372" s="9"/>
      <c r="D1372" s="133"/>
      <c r="E1372" s="133"/>
      <c r="F1372" s="24"/>
      <c r="G1372" s="24"/>
      <c r="I1372" s="13" t="str">
        <f>IFERROR(__xludf.DUMMYFUNCTION("if(isblank(A1372),,split(A1372,""-""))"),"")</f>
        <v/>
      </c>
      <c r="K1372" s="13" t="str">
        <f>IFERROR(__xludf.DUMMYFUNCTION("if(isblank(B1372),,split(B1372,""-""))"),"")</f>
        <v/>
      </c>
    </row>
    <row r="1373">
      <c r="A1373" s="132"/>
      <c r="B1373" s="41"/>
      <c r="C1373" s="9"/>
      <c r="D1373" s="133"/>
      <c r="E1373" s="133"/>
      <c r="F1373" s="24"/>
      <c r="G1373" s="24"/>
      <c r="I1373" s="13" t="str">
        <f>IFERROR(__xludf.DUMMYFUNCTION("if(isblank(A1373),,split(A1373,""-""))"),"")</f>
        <v/>
      </c>
      <c r="K1373" s="13" t="str">
        <f>IFERROR(__xludf.DUMMYFUNCTION("if(isblank(B1373),,split(B1373,""-""))"),"")</f>
        <v/>
      </c>
    </row>
    <row r="1374">
      <c r="A1374" s="132"/>
      <c r="B1374" s="41"/>
      <c r="C1374" s="9"/>
      <c r="D1374" s="133"/>
      <c r="E1374" s="133"/>
      <c r="F1374" s="24"/>
      <c r="G1374" s="24"/>
      <c r="I1374" s="13" t="str">
        <f>IFERROR(__xludf.DUMMYFUNCTION("if(isblank(A1374),,split(A1374,""-""))"),"")</f>
        <v/>
      </c>
      <c r="K1374" s="13" t="str">
        <f>IFERROR(__xludf.DUMMYFUNCTION("if(isblank(B1374),,split(B1374,""-""))"),"")</f>
        <v/>
      </c>
    </row>
    <row r="1375">
      <c r="A1375" s="132"/>
      <c r="B1375" s="41"/>
      <c r="C1375" s="9"/>
      <c r="D1375" s="133"/>
      <c r="E1375" s="133"/>
      <c r="F1375" s="24"/>
      <c r="G1375" s="24"/>
      <c r="I1375" s="13" t="str">
        <f>IFERROR(__xludf.DUMMYFUNCTION("if(isblank(A1375),,split(A1375,""-""))"),"")</f>
        <v/>
      </c>
      <c r="K1375" s="13" t="str">
        <f>IFERROR(__xludf.DUMMYFUNCTION("if(isblank(B1375),,split(B1375,""-""))"),"")</f>
        <v/>
      </c>
    </row>
    <row r="1376">
      <c r="A1376" s="132"/>
      <c r="B1376" s="41"/>
      <c r="C1376" s="9"/>
      <c r="D1376" s="133"/>
      <c r="E1376" s="133"/>
      <c r="F1376" s="24"/>
      <c r="G1376" s="24"/>
      <c r="I1376" s="13" t="str">
        <f>IFERROR(__xludf.DUMMYFUNCTION("if(isblank(A1376),,split(A1376,""-""))"),"")</f>
        <v/>
      </c>
      <c r="K1376" s="13" t="str">
        <f>IFERROR(__xludf.DUMMYFUNCTION("if(isblank(B1376),,split(B1376,""-""))"),"")</f>
        <v/>
      </c>
    </row>
    <row r="1377">
      <c r="A1377" s="132"/>
      <c r="B1377" s="41"/>
      <c r="C1377" s="9"/>
      <c r="D1377" s="133"/>
      <c r="E1377" s="133"/>
      <c r="F1377" s="24"/>
      <c r="G1377" s="24"/>
      <c r="I1377" s="13" t="str">
        <f>IFERROR(__xludf.DUMMYFUNCTION("if(isblank(A1377),,split(A1377,""-""))"),"")</f>
        <v/>
      </c>
      <c r="K1377" s="13" t="str">
        <f>IFERROR(__xludf.DUMMYFUNCTION("if(isblank(B1377),,split(B1377,""-""))"),"")</f>
        <v/>
      </c>
    </row>
    <row r="1378">
      <c r="A1378" s="132"/>
      <c r="B1378" s="41"/>
      <c r="C1378" s="9"/>
      <c r="D1378" s="133"/>
      <c r="E1378" s="133"/>
      <c r="F1378" s="24"/>
      <c r="G1378" s="24"/>
      <c r="I1378" s="13" t="str">
        <f>IFERROR(__xludf.DUMMYFUNCTION("if(isblank(A1378),,split(A1378,""-""))"),"")</f>
        <v/>
      </c>
      <c r="K1378" s="13" t="str">
        <f>IFERROR(__xludf.DUMMYFUNCTION("if(isblank(B1378),,split(B1378,""-""))"),"")</f>
        <v/>
      </c>
    </row>
    <row r="1379">
      <c r="A1379" s="132"/>
      <c r="B1379" s="41"/>
      <c r="C1379" s="9"/>
      <c r="D1379" s="133"/>
      <c r="E1379" s="133"/>
      <c r="F1379" s="24"/>
      <c r="G1379" s="24"/>
      <c r="I1379" s="13" t="str">
        <f>IFERROR(__xludf.DUMMYFUNCTION("if(isblank(A1379),,split(A1379,""-""))"),"")</f>
        <v/>
      </c>
      <c r="K1379" s="13" t="str">
        <f>IFERROR(__xludf.DUMMYFUNCTION("if(isblank(B1379),,split(B1379,""-""))"),"")</f>
        <v/>
      </c>
    </row>
    <row r="1380">
      <c r="A1380" s="132"/>
      <c r="B1380" s="41"/>
      <c r="C1380" s="9"/>
      <c r="D1380" s="133"/>
      <c r="E1380" s="133"/>
      <c r="F1380" s="24"/>
      <c r="G1380" s="24"/>
      <c r="I1380" s="13" t="str">
        <f>IFERROR(__xludf.DUMMYFUNCTION("if(isblank(A1380),,split(A1380,""-""))"),"")</f>
        <v/>
      </c>
      <c r="K1380" s="13" t="str">
        <f>IFERROR(__xludf.DUMMYFUNCTION("if(isblank(B1380),,split(B1380,""-""))"),"")</f>
        <v/>
      </c>
    </row>
    <row r="1381">
      <c r="A1381" s="132"/>
      <c r="B1381" s="41"/>
      <c r="C1381" s="9"/>
      <c r="D1381" s="133"/>
      <c r="E1381" s="133"/>
      <c r="F1381" s="24"/>
      <c r="G1381" s="24"/>
      <c r="I1381" s="13" t="str">
        <f>IFERROR(__xludf.DUMMYFUNCTION("if(isblank(A1381),,split(A1381,""-""))"),"")</f>
        <v/>
      </c>
      <c r="K1381" s="13" t="str">
        <f>IFERROR(__xludf.DUMMYFUNCTION("if(isblank(B1381),,split(B1381,""-""))"),"")</f>
        <v/>
      </c>
    </row>
    <row r="1382">
      <c r="A1382" s="132"/>
      <c r="B1382" s="41"/>
      <c r="C1382" s="9"/>
      <c r="D1382" s="133"/>
      <c r="E1382" s="133"/>
      <c r="F1382" s="24"/>
      <c r="G1382" s="24"/>
      <c r="I1382" s="13" t="str">
        <f>IFERROR(__xludf.DUMMYFUNCTION("if(isblank(A1382),,split(A1382,""-""))"),"")</f>
        <v/>
      </c>
      <c r="K1382" s="13" t="str">
        <f>IFERROR(__xludf.DUMMYFUNCTION("if(isblank(B1382),,split(B1382,""-""))"),"")</f>
        <v/>
      </c>
    </row>
    <row r="1383">
      <c r="A1383" s="132"/>
      <c r="B1383" s="41"/>
      <c r="C1383" s="9"/>
      <c r="D1383" s="133"/>
      <c r="E1383" s="133"/>
      <c r="F1383" s="24"/>
      <c r="G1383" s="24"/>
      <c r="I1383" s="13" t="str">
        <f>IFERROR(__xludf.DUMMYFUNCTION("if(isblank(A1383),,split(A1383,""-""))"),"")</f>
        <v/>
      </c>
      <c r="K1383" s="13" t="str">
        <f>IFERROR(__xludf.DUMMYFUNCTION("if(isblank(B1383),,split(B1383,""-""))"),"")</f>
        <v/>
      </c>
    </row>
    <row r="1384">
      <c r="A1384" s="132"/>
      <c r="B1384" s="41"/>
      <c r="C1384" s="9"/>
      <c r="D1384" s="133"/>
      <c r="E1384" s="133"/>
      <c r="F1384" s="24"/>
      <c r="G1384" s="24"/>
      <c r="I1384" s="13" t="str">
        <f>IFERROR(__xludf.DUMMYFUNCTION("if(isblank(A1384),,split(A1384,""-""))"),"")</f>
        <v/>
      </c>
      <c r="K1384" s="13" t="str">
        <f>IFERROR(__xludf.DUMMYFUNCTION("if(isblank(B1384),,split(B1384,""-""))"),"")</f>
        <v/>
      </c>
    </row>
    <row r="1385">
      <c r="A1385" s="132"/>
      <c r="B1385" s="41"/>
      <c r="C1385" s="9"/>
      <c r="D1385" s="133"/>
      <c r="E1385" s="133"/>
      <c r="F1385" s="24"/>
      <c r="G1385" s="24"/>
      <c r="I1385" s="13" t="str">
        <f>IFERROR(__xludf.DUMMYFUNCTION("if(isblank(A1385),,split(A1385,""-""))"),"")</f>
        <v/>
      </c>
      <c r="K1385" s="13" t="str">
        <f>IFERROR(__xludf.DUMMYFUNCTION("if(isblank(B1385),,split(B1385,""-""))"),"")</f>
        <v/>
      </c>
    </row>
    <row r="1386">
      <c r="A1386" s="132"/>
      <c r="B1386" s="41"/>
      <c r="C1386" s="9"/>
      <c r="D1386" s="133"/>
      <c r="E1386" s="133"/>
      <c r="F1386" s="24"/>
      <c r="G1386" s="24"/>
      <c r="I1386" s="13" t="str">
        <f>IFERROR(__xludf.DUMMYFUNCTION("if(isblank(A1386),,split(A1386,""-""))"),"")</f>
        <v/>
      </c>
      <c r="K1386" s="13" t="str">
        <f>IFERROR(__xludf.DUMMYFUNCTION("if(isblank(B1386),,split(B1386,""-""))"),"")</f>
        <v/>
      </c>
    </row>
    <row r="1387">
      <c r="A1387" s="132"/>
      <c r="B1387" s="41"/>
      <c r="C1387" s="9"/>
      <c r="D1387" s="133"/>
      <c r="E1387" s="133"/>
      <c r="F1387" s="24"/>
      <c r="G1387" s="24"/>
      <c r="I1387" s="13" t="str">
        <f>IFERROR(__xludf.DUMMYFUNCTION("if(isblank(A1387),,split(A1387,""-""))"),"")</f>
        <v/>
      </c>
      <c r="K1387" s="13" t="str">
        <f>IFERROR(__xludf.DUMMYFUNCTION("if(isblank(B1387),,split(B1387,""-""))"),"")</f>
        <v/>
      </c>
    </row>
    <row r="1388">
      <c r="A1388" s="132"/>
      <c r="B1388" s="41"/>
      <c r="C1388" s="9"/>
      <c r="D1388" s="133"/>
      <c r="E1388" s="133"/>
      <c r="F1388" s="24"/>
      <c r="G1388" s="24"/>
      <c r="I1388" s="13" t="str">
        <f>IFERROR(__xludf.DUMMYFUNCTION("if(isblank(A1388),,split(A1388,""-""))"),"")</f>
        <v/>
      </c>
      <c r="K1388" s="13" t="str">
        <f>IFERROR(__xludf.DUMMYFUNCTION("if(isblank(B1388),,split(B1388,""-""))"),"")</f>
        <v/>
      </c>
    </row>
    <row r="1389">
      <c r="A1389" s="132"/>
      <c r="B1389" s="41"/>
      <c r="C1389" s="9"/>
      <c r="D1389" s="133"/>
      <c r="E1389" s="133"/>
      <c r="F1389" s="24"/>
      <c r="G1389" s="24"/>
      <c r="I1389" s="13" t="str">
        <f>IFERROR(__xludf.DUMMYFUNCTION("if(isblank(A1389),,split(A1389,""-""))"),"")</f>
        <v/>
      </c>
      <c r="K1389" s="13" t="str">
        <f>IFERROR(__xludf.DUMMYFUNCTION("if(isblank(B1389),,split(B1389,""-""))"),"")</f>
        <v/>
      </c>
    </row>
    <row r="1390">
      <c r="A1390" s="132"/>
      <c r="B1390" s="41"/>
      <c r="C1390" s="9"/>
      <c r="D1390" s="133"/>
      <c r="E1390" s="133"/>
      <c r="F1390" s="24"/>
      <c r="G1390" s="24"/>
      <c r="I1390" s="13" t="str">
        <f>IFERROR(__xludf.DUMMYFUNCTION("if(isblank(A1390),,split(A1390,""-""))"),"")</f>
        <v/>
      </c>
      <c r="K1390" s="13" t="str">
        <f>IFERROR(__xludf.DUMMYFUNCTION("if(isblank(B1390),,split(B1390,""-""))"),"")</f>
        <v/>
      </c>
    </row>
    <row r="1391">
      <c r="A1391" s="132"/>
      <c r="B1391" s="41"/>
      <c r="C1391" s="9"/>
      <c r="D1391" s="133"/>
      <c r="E1391" s="133"/>
      <c r="F1391" s="24"/>
      <c r="G1391" s="24"/>
      <c r="I1391" s="13" t="str">
        <f>IFERROR(__xludf.DUMMYFUNCTION("if(isblank(A1391),,split(A1391,""-""))"),"")</f>
        <v/>
      </c>
      <c r="K1391" s="13" t="str">
        <f>IFERROR(__xludf.DUMMYFUNCTION("if(isblank(B1391),,split(B1391,""-""))"),"")</f>
        <v/>
      </c>
    </row>
    <row r="1392">
      <c r="A1392" s="132"/>
      <c r="B1392" s="41"/>
      <c r="C1392" s="9"/>
      <c r="D1392" s="133"/>
      <c r="E1392" s="133"/>
      <c r="F1392" s="24"/>
      <c r="G1392" s="24"/>
      <c r="I1392" s="13" t="str">
        <f>IFERROR(__xludf.DUMMYFUNCTION("if(isblank(A1392),,split(A1392,""-""))"),"")</f>
        <v/>
      </c>
      <c r="K1392" s="13" t="str">
        <f>IFERROR(__xludf.DUMMYFUNCTION("if(isblank(B1392),,split(B1392,""-""))"),"")</f>
        <v/>
      </c>
    </row>
    <row r="1393">
      <c r="A1393" s="132"/>
      <c r="B1393" s="41"/>
      <c r="C1393" s="9"/>
      <c r="D1393" s="133"/>
      <c r="E1393" s="133"/>
      <c r="F1393" s="24"/>
      <c r="G1393" s="24"/>
      <c r="I1393" s="13" t="str">
        <f>IFERROR(__xludf.DUMMYFUNCTION("if(isblank(A1393),,split(A1393,""-""))"),"")</f>
        <v/>
      </c>
      <c r="K1393" s="13" t="str">
        <f>IFERROR(__xludf.DUMMYFUNCTION("if(isblank(B1393),,split(B1393,""-""))"),"")</f>
        <v/>
      </c>
    </row>
    <row r="1394">
      <c r="A1394" s="132"/>
      <c r="B1394" s="41"/>
      <c r="C1394" s="9"/>
      <c r="D1394" s="133"/>
      <c r="E1394" s="133"/>
      <c r="F1394" s="24"/>
      <c r="G1394" s="24"/>
      <c r="I1394" s="13" t="str">
        <f>IFERROR(__xludf.DUMMYFUNCTION("if(isblank(A1394),,split(A1394,""-""))"),"")</f>
        <v/>
      </c>
      <c r="K1394" s="13" t="str">
        <f>IFERROR(__xludf.DUMMYFUNCTION("if(isblank(B1394),,split(B1394,""-""))"),"")</f>
        <v/>
      </c>
    </row>
    <row r="1395">
      <c r="A1395" s="132"/>
      <c r="B1395" s="41"/>
      <c r="C1395" s="9"/>
      <c r="D1395" s="133"/>
      <c r="E1395" s="133"/>
      <c r="F1395" s="24"/>
      <c r="G1395" s="24"/>
      <c r="I1395" s="13" t="str">
        <f>IFERROR(__xludf.DUMMYFUNCTION("if(isblank(A1395),,split(A1395,""-""))"),"")</f>
        <v/>
      </c>
      <c r="K1395" s="13" t="str">
        <f>IFERROR(__xludf.DUMMYFUNCTION("if(isblank(B1395),,split(B1395,""-""))"),"")</f>
        <v/>
      </c>
    </row>
    <row r="1396">
      <c r="A1396" s="132"/>
      <c r="B1396" s="41"/>
      <c r="C1396" s="9"/>
      <c r="D1396" s="133"/>
      <c r="E1396" s="133"/>
      <c r="F1396" s="24"/>
      <c r="G1396" s="24"/>
      <c r="I1396" s="13" t="str">
        <f>IFERROR(__xludf.DUMMYFUNCTION("if(isblank(A1396),,split(A1396,""-""))"),"")</f>
        <v/>
      </c>
      <c r="K1396" s="13" t="str">
        <f>IFERROR(__xludf.DUMMYFUNCTION("if(isblank(B1396),,split(B1396,""-""))"),"")</f>
        <v/>
      </c>
    </row>
    <row r="1397">
      <c r="A1397" s="132"/>
      <c r="B1397" s="41"/>
      <c r="C1397" s="9"/>
      <c r="D1397" s="133"/>
      <c r="E1397" s="133"/>
      <c r="F1397" s="24"/>
      <c r="G1397" s="24"/>
      <c r="I1397" s="13" t="str">
        <f>IFERROR(__xludf.DUMMYFUNCTION("if(isblank(A1397),,split(A1397,""-""))"),"")</f>
        <v/>
      </c>
      <c r="K1397" s="13" t="str">
        <f>IFERROR(__xludf.DUMMYFUNCTION("if(isblank(B1397),,split(B1397,""-""))"),"")</f>
        <v/>
      </c>
    </row>
    <row r="1398">
      <c r="A1398" s="132"/>
      <c r="B1398" s="41"/>
      <c r="C1398" s="9"/>
      <c r="D1398" s="133"/>
      <c r="E1398" s="133"/>
      <c r="F1398" s="24"/>
      <c r="G1398" s="24"/>
      <c r="I1398" s="13" t="str">
        <f>IFERROR(__xludf.DUMMYFUNCTION("if(isblank(A1398),,split(A1398,""-""))"),"")</f>
        <v/>
      </c>
      <c r="K1398" s="13" t="str">
        <f>IFERROR(__xludf.DUMMYFUNCTION("if(isblank(B1398),,split(B1398,""-""))"),"")</f>
        <v/>
      </c>
    </row>
    <row r="1399">
      <c r="A1399" s="132"/>
      <c r="B1399" s="41"/>
      <c r="C1399" s="9"/>
      <c r="D1399" s="133"/>
      <c r="E1399" s="133"/>
      <c r="F1399" s="24"/>
      <c r="G1399" s="24"/>
      <c r="I1399" s="13" t="str">
        <f>IFERROR(__xludf.DUMMYFUNCTION("if(isblank(A1399),,split(A1399,""-""))"),"")</f>
        <v/>
      </c>
      <c r="K1399" s="13" t="str">
        <f>IFERROR(__xludf.DUMMYFUNCTION("if(isblank(B1399),,split(B1399,""-""))"),"")</f>
        <v/>
      </c>
    </row>
    <row r="1400">
      <c r="A1400" s="132"/>
      <c r="B1400" s="41"/>
      <c r="C1400" s="9"/>
      <c r="D1400" s="133"/>
      <c r="E1400" s="133"/>
      <c r="F1400" s="24"/>
      <c r="G1400" s="24"/>
      <c r="I1400" s="13" t="str">
        <f>IFERROR(__xludf.DUMMYFUNCTION("if(isblank(A1400),,split(A1400,""-""))"),"")</f>
        <v/>
      </c>
      <c r="K1400" s="13" t="str">
        <f>IFERROR(__xludf.DUMMYFUNCTION("if(isblank(B1400),,split(B1400,""-""))"),"")</f>
        <v/>
      </c>
    </row>
    <row r="1401">
      <c r="A1401" s="132"/>
      <c r="B1401" s="41"/>
      <c r="C1401" s="9"/>
      <c r="D1401" s="133"/>
      <c r="E1401" s="133"/>
      <c r="F1401" s="24"/>
      <c r="G1401" s="24"/>
      <c r="I1401" s="13" t="str">
        <f>IFERROR(__xludf.DUMMYFUNCTION("if(isblank(A1401),,split(A1401,""-""))"),"")</f>
        <v/>
      </c>
      <c r="K1401" s="13" t="str">
        <f>IFERROR(__xludf.DUMMYFUNCTION("if(isblank(B1401),,split(B1401,""-""))"),"")</f>
        <v/>
      </c>
    </row>
    <row r="1402">
      <c r="A1402" s="132"/>
      <c r="B1402" s="41"/>
      <c r="C1402" s="9"/>
      <c r="D1402" s="133"/>
      <c r="E1402" s="133"/>
      <c r="F1402" s="24"/>
      <c r="G1402" s="24"/>
      <c r="I1402" s="13" t="str">
        <f>IFERROR(__xludf.DUMMYFUNCTION("if(isblank(A1402),,split(A1402,""-""))"),"")</f>
        <v/>
      </c>
      <c r="K1402" s="13" t="str">
        <f>IFERROR(__xludf.DUMMYFUNCTION("if(isblank(B1402),,split(B1402,""-""))"),"")</f>
        <v/>
      </c>
    </row>
    <row r="1403">
      <c r="A1403" s="132"/>
      <c r="B1403" s="41"/>
      <c r="C1403" s="9"/>
      <c r="D1403" s="133"/>
      <c r="E1403" s="133"/>
      <c r="F1403" s="24"/>
      <c r="G1403" s="24"/>
      <c r="I1403" s="13" t="str">
        <f>IFERROR(__xludf.DUMMYFUNCTION("if(isblank(A1403),,split(A1403,""-""))"),"")</f>
        <v/>
      </c>
      <c r="K1403" s="13" t="str">
        <f>IFERROR(__xludf.DUMMYFUNCTION("if(isblank(B1403),,split(B1403,""-""))"),"")</f>
        <v/>
      </c>
    </row>
    <row r="1404">
      <c r="A1404" s="132"/>
      <c r="B1404" s="41"/>
      <c r="C1404" s="9"/>
      <c r="D1404" s="133"/>
      <c r="E1404" s="133"/>
      <c r="F1404" s="24"/>
      <c r="G1404" s="24"/>
      <c r="I1404" s="13" t="str">
        <f>IFERROR(__xludf.DUMMYFUNCTION("if(isblank(A1404),,split(A1404,""-""))"),"")</f>
        <v/>
      </c>
      <c r="K1404" s="13" t="str">
        <f>IFERROR(__xludf.DUMMYFUNCTION("if(isblank(B1404),,split(B1404,""-""))"),"")</f>
        <v/>
      </c>
    </row>
    <row r="1405">
      <c r="A1405" s="132"/>
      <c r="B1405" s="41"/>
      <c r="C1405" s="9"/>
      <c r="D1405" s="133"/>
      <c r="E1405" s="133"/>
      <c r="F1405" s="24"/>
      <c r="G1405" s="24"/>
      <c r="I1405" s="13" t="str">
        <f>IFERROR(__xludf.DUMMYFUNCTION("if(isblank(A1405),,split(A1405,""-""))"),"")</f>
        <v/>
      </c>
      <c r="K1405" s="13" t="str">
        <f>IFERROR(__xludf.DUMMYFUNCTION("if(isblank(B1405),,split(B1405,""-""))"),"")</f>
        <v/>
      </c>
    </row>
    <row r="1406">
      <c r="A1406" s="132"/>
      <c r="B1406" s="41"/>
      <c r="C1406" s="9"/>
      <c r="D1406" s="133"/>
      <c r="E1406" s="133"/>
      <c r="F1406" s="24"/>
      <c r="G1406" s="24"/>
      <c r="I1406" s="13" t="str">
        <f>IFERROR(__xludf.DUMMYFUNCTION("if(isblank(A1406),,split(A1406,""-""))"),"")</f>
        <v/>
      </c>
      <c r="K1406" s="13" t="str">
        <f>IFERROR(__xludf.DUMMYFUNCTION("if(isblank(B1406),,split(B1406,""-""))"),"")</f>
        <v/>
      </c>
    </row>
    <row r="1407">
      <c r="A1407" s="132"/>
      <c r="B1407" s="41"/>
      <c r="C1407" s="9"/>
      <c r="D1407" s="133"/>
      <c r="E1407" s="133"/>
      <c r="F1407" s="24"/>
      <c r="G1407" s="24"/>
      <c r="I1407" s="13" t="str">
        <f>IFERROR(__xludf.DUMMYFUNCTION("if(isblank(A1407),,split(A1407,""-""))"),"")</f>
        <v/>
      </c>
      <c r="K1407" s="13" t="str">
        <f>IFERROR(__xludf.DUMMYFUNCTION("if(isblank(B1407),,split(B1407,""-""))"),"")</f>
        <v/>
      </c>
    </row>
    <row r="1408">
      <c r="A1408" s="132"/>
      <c r="B1408" s="41"/>
      <c r="C1408" s="9"/>
      <c r="D1408" s="133"/>
      <c r="E1408" s="133"/>
      <c r="F1408" s="24"/>
      <c r="G1408" s="24"/>
      <c r="I1408" s="13" t="str">
        <f>IFERROR(__xludf.DUMMYFUNCTION("if(isblank(A1408),,split(A1408,""-""))"),"")</f>
        <v/>
      </c>
      <c r="K1408" s="13" t="str">
        <f>IFERROR(__xludf.DUMMYFUNCTION("if(isblank(B1408),,split(B1408,""-""))"),"")</f>
        <v/>
      </c>
    </row>
    <row r="1409">
      <c r="A1409" s="132"/>
      <c r="B1409" s="41"/>
      <c r="C1409" s="9"/>
      <c r="D1409" s="133"/>
      <c r="E1409" s="133"/>
      <c r="F1409" s="24"/>
      <c r="G1409" s="24"/>
      <c r="I1409" s="13" t="str">
        <f>IFERROR(__xludf.DUMMYFUNCTION("if(isblank(A1409),,split(A1409,""-""))"),"")</f>
        <v/>
      </c>
      <c r="K1409" s="13" t="str">
        <f>IFERROR(__xludf.DUMMYFUNCTION("if(isblank(B1409),,split(B1409,""-""))"),"")</f>
        <v/>
      </c>
    </row>
    <row r="1410">
      <c r="A1410" s="132"/>
      <c r="B1410" s="41"/>
      <c r="C1410" s="9"/>
      <c r="D1410" s="133"/>
      <c r="E1410" s="133"/>
      <c r="F1410" s="24"/>
      <c r="G1410" s="24"/>
      <c r="I1410" s="13" t="str">
        <f>IFERROR(__xludf.DUMMYFUNCTION("if(isblank(A1410),,split(A1410,""-""))"),"")</f>
        <v/>
      </c>
      <c r="K1410" s="13" t="str">
        <f>IFERROR(__xludf.DUMMYFUNCTION("if(isblank(B1410),,split(B1410,""-""))"),"")</f>
        <v/>
      </c>
    </row>
    <row r="1411">
      <c r="A1411" s="132"/>
      <c r="B1411" s="41"/>
      <c r="C1411" s="9"/>
      <c r="D1411" s="133"/>
      <c r="E1411" s="133"/>
      <c r="F1411" s="24"/>
      <c r="G1411" s="24"/>
      <c r="I1411" s="13" t="str">
        <f>IFERROR(__xludf.DUMMYFUNCTION("if(isblank(A1411),,split(A1411,""-""))"),"")</f>
        <v/>
      </c>
      <c r="K1411" s="13" t="str">
        <f>IFERROR(__xludf.DUMMYFUNCTION("if(isblank(B1411),,split(B1411,""-""))"),"")</f>
        <v/>
      </c>
    </row>
    <row r="1412">
      <c r="A1412" s="132"/>
      <c r="B1412" s="41"/>
      <c r="C1412" s="9"/>
      <c r="D1412" s="133"/>
      <c r="E1412" s="133"/>
      <c r="F1412" s="24"/>
      <c r="G1412" s="24"/>
      <c r="I1412" s="13" t="str">
        <f>IFERROR(__xludf.DUMMYFUNCTION("if(isblank(A1412),,split(A1412,""-""))"),"")</f>
        <v/>
      </c>
      <c r="K1412" s="13" t="str">
        <f>IFERROR(__xludf.DUMMYFUNCTION("if(isblank(B1412),,split(B1412,""-""))"),"")</f>
        <v/>
      </c>
    </row>
    <row r="1413">
      <c r="A1413" s="132"/>
      <c r="B1413" s="41"/>
      <c r="C1413" s="9"/>
      <c r="D1413" s="133"/>
      <c r="E1413" s="133"/>
      <c r="F1413" s="24"/>
      <c r="G1413" s="24"/>
      <c r="I1413" s="13" t="str">
        <f>IFERROR(__xludf.DUMMYFUNCTION("if(isblank(A1413),,split(A1413,""-""))"),"")</f>
        <v/>
      </c>
      <c r="K1413" s="13" t="str">
        <f>IFERROR(__xludf.DUMMYFUNCTION("if(isblank(B1413),,split(B1413,""-""))"),"")</f>
        <v/>
      </c>
    </row>
    <row r="1414">
      <c r="A1414" s="132"/>
      <c r="B1414" s="41"/>
      <c r="C1414" s="9"/>
      <c r="D1414" s="133"/>
      <c r="E1414" s="133"/>
      <c r="F1414" s="24"/>
      <c r="G1414" s="24"/>
      <c r="I1414" s="13" t="str">
        <f>IFERROR(__xludf.DUMMYFUNCTION("if(isblank(A1414),,split(A1414,""-""))"),"")</f>
        <v/>
      </c>
      <c r="K1414" s="13" t="str">
        <f>IFERROR(__xludf.DUMMYFUNCTION("if(isblank(B1414),,split(B1414,""-""))"),"")</f>
        <v/>
      </c>
    </row>
    <row r="1415">
      <c r="A1415" s="132"/>
      <c r="B1415" s="41"/>
      <c r="C1415" s="9"/>
      <c r="D1415" s="133"/>
      <c r="E1415" s="133"/>
      <c r="F1415" s="24"/>
      <c r="G1415" s="24"/>
      <c r="I1415" s="13" t="str">
        <f>IFERROR(__xludf.DUMMYFUNCTION("if(isblank(A1415),,split(A1415,""-""))"),"")</f>
        <v/>
      </c>
      <c r="K1415" s="13" t="str">
        <f>IFERROR(__xludf.DUMMYFUNCTION("if(isblank(B1415),,split(B1415,""-""))"),"")</f>
        <v/>
      </c>
    </row>
    <row r="1416">
      <c r="A1416" s="132"/>
      <c r="B1416" s="41"/>
      <c r="C1416" s="9"/>
      <c r="D1416" s="133"/>
      <c r="E1416" s="133"/>
      <c r="F1416" s="24"/>
      <c r="G1416" s="24"/>
      <c r="I1416" s="13" t="str">
        <f>IFERROR(__xludf.DUMMYFUNCTION("if(isblank(A1416),,split(A1416,""-""))"),"")</f>
        <v/>
      </c>
      <c r="K1416" s="13" t="str">
        <f>IFERROR(__xludf.DUMMYFUNCTION("if(isblank(B1416),,split(B1416,""-""))"),"")</f>
        <v/>
      </c>
    </row>
    <row r="1417">
      <c r="A1417" s="132"/>
      <c r="B1417" s="41"/>
      <c r="C1417" s="9"/>
      <c r="D1417" s="133"/>
      <c r="E1417" s="133"/>
      <c r="F1417" s="24"/>
      <c r="G1417" s="24"/>
      <c r="I1417" s="13" t="str">
        <f>IFERROR(__xludf.DUMMYFUNCTION("if(isblank(A1417),,split(A1417,""-""))"),"")</f>
        <v/>
      </c>
      <c r="K1417" s="13" t="str">
        <f>IFERROR(__xludf.DUMMYFUNCTION("if(isblank(B1417),,split(B1417,""-""))"),"")</f>
        <v/>
      </c>
    </row>
    <row r="1418">
      <c r="A1418" s="132"/>
      <c r="B1418" s="41"/>
      <c r="C1418" s="9"/>
      <c r="D1418" s="133"/>
      <c r="E1418" s="133"/>
      <c r="F1418" s="24"/>
      <c r="G1418" s="24"/>
      <c r="I1418" s="13" t="str">
        <f>IFERROR(__xludf.DUMMYFUNCTION("if(isblank(A1418),,split(A1418,""-""))"),"")</f>
        <v/>
      </c>
      <c r="K1418" s="13" t="str">
        <f>IFERROR(__xludf.DUMMYFUNCTION("if(isblank(B1418),,split(B1418,""-""))"),"")</f>
        <v/>
      </c>
    </row>
    <row r="1419">
      <c r="A1419" s="132"/>
      <c r="B1419" s="41"/>
      <c r="C1419" s="9"/>
      <c r="D1419" s="133"/>
      <c r="E1419" s="133"/>
      <c r="F1419" s="24"/>
      <c r="G1419" s="24"/>
      <c r="I1419" s="13" t="str">
        <f>IFERROR(__xludf.DUMMYFUNCTION("if(isblank(A1419),,split(A1419,""-""))"),"")</f>
        <v/>
      </c>
      <c r="K1419" s="13" t="str">
        <f>IFERROR(__xludf.DUMMYFUNCTION("if(isblank(B1419),,split(B1419,""-""))"),"")</f>
        <v/>
      </c>
    </row>
    <row r="1420">
      <c r="A1420" s="132"/>
      <c r="B1420" s="41"/>
      <c r="C1420" s="9"/>
      <c r="D1420" s="133"/>
      <c r="E1420" s="133"/>
      <c r="F1420" s="24"/>
      <c r="G1420" s="24"/>
      <c r="I1420" s="13" t="str">
        <f>IFERROR(__xludf.DUMMYFUNCTION("if(isblank(A1420),,split(A1420,""-""))"),"")</f>
        <v/>
      </c>
      <c r="K1420" s="13" t="str">
        <f>IFERROR(__xludf.DUMMYFUNCTION("if(isblank(B1420),,split(B1420,""-""))"),"")</f>
        <v/>
      </c>
    </row>
    <row r="1421">
      <c r="A1421" s="132"/>
      <c r="B1421" s="41"/>
      <c r="C1421" s="9"/>
      <c r="D1421" s="133"/>
      <c r="E1421" s="133"/>
      <c r="F1421" s="24"/>
      <c r="G1421" s="24"/>
      <c r="I1421" s="13" t="str">
        <f>IFERROR(__xludf.DUMMYFUNCTION("if(isblank(A1421),,split(A1421,""-""))"),"")</f>
        <v/>
      </c>
      <c r="K1421" s="13" t="str">
        <f>IFERROR(__xludf.DUMMYFUNCTION("if(isblank(B1421),,split(B1421,""-""))"),"")</f>
        <v/>
      </c>
    </row>
    <row r="1422">
      <c r="A1422" s="132"/>
      <c r="B1422" s="41"/>
      <c r="C1422" s="9"/>
      <c r="D1422" s="133"/>
      <c r="E1422" s="133"/>
      <c r="F1422" s="24"/>
      <c r="G1422" s="24"/>
      <c r="I1422" s="13" t="str">
        <f>IFERROR(__xludf.DUMMYFUNCTION("if(isblank(A1422),,split(A1422,""-""))"),"")</f>
        <v/>
      </c>
      <c r="K1422" s="13" t="str">
        <f>IFERROR(__xludf.DUMMYFUNCTION("if(isblank(B1422),,split(B1422,""-""))"),"")</f>
        <v/>
      </c>
    </row>
    <row r="1423">
      <c r="A1423" s="132"/>
      <c r="B1423" s="41"/>
      <c r="C1423" s="9"/>
      <c r="D1423" s="133"/>
      <c r="E1423" s="133"/>
      <c r="F1423" s="24"/>
      <c r="G1423" s="24"/>
      <c r="I1423" s="13" t="str">
        <f>IFERROR(__xludf.DUMMYFUNCTION("if(isblank(A1423),,split(A1423,""-""))"),"")</f>
        <v/>
      </c>
      <c r="K1423" s="13" t="str">
        <f>IFERROR(__xludf.DUMMYFUNCTION("if(isblank(B1423),,split(B1423,""-""))"),"")</f>
        <v/>
      </c>
    </row>
    <row r="1424">
      <c r="A1424" s="132"/>
      <c r="B1424" s="41"/>
      <c r="C1424" s="9"/>
      <c r="D1424" s="133"/>
      <c r="E1424" s="133"/>
      <c r="F1424" s="24"/>
      <c r="G1424" s="24"/>
      <c r="I1424" s="13" t="str">
        <f>IFERROR(__xludf.DUMMYFUNCTION("if(isblank(A1424),,split(A1424,""-""))"),"")</f>
        <v/>
      </c>
      <c r="K1424" s="13" t="str">
        <f>IFERROR(__xludf.DUMMYFUNCTION("if(isblank(B1424),,split(B1424,""-""))"),"")</f>
        <v/>
      </c>
    </row>
    <row r="1425">
      <c r="A1425" s="132"/>
      <c r="B1425" s="41"/>
      <c r="C1425" s="9"/>
      <c r="D1425" s="133"/>
      <c r="E1425" s="133"/>
      <c r="F1425" s="24"/>
      <c r="G1425" s="24"/>
      <c r="I1425" s="13" t="str">
        <f>IFERROR(__xludf.DUMMYFUNCTION("if(isblank(A1425),,split(A1425,""-""))"),"")</f>
        <v/>
      </c>
      <c r="K1425" s="13" t="str">
        <f>IFERROR(__xludf.DUMMYFUNCTION("if(isblank(B1425),,split(B1425,""-""))"),"")</f>
        <v/>
      </c>
    </row>
    <row r="1426">
      <c r="A1426" s="132"/>
      <c r="B1426" s="41"/>
      <c r="C1426" s="9"/>
      <c r="D1426" s="133"/>
      <c r="E1426" s="133"/>
      <c r="F1426" s="24"/>
      <c r="G1426" s="24"/>
      <c r="I1426" s="13" t="str">
        <f>IFERROR(__xludf.DUMMYFUNCTION("if(isblank(A1426),,split(A1426,""-""))"),"")</f>
        <v/>
      </c>
      <c r="K1426" s="13" t="str">
        <f>IFERROR(__xludf.DUMMYFUNCTION("if(isblank(B1426),,split(B1426,""-""))"),"")</f>
        <v/>
      </c>
    </row>
    <row r="1427">
      <c r="A1427" s="132"/>
      <c r="B1427" s="41"/>
      <c r="C1427" s="9"/>
      <c r="D1427" s="133"/>
      <c r="E1427" s="133"/>
      <c r="F1427" s="24"/>
      <c r="G1427" s="24"/>
      <c r="I1427" s="13" t="str">
        <f>IFERROR(__xludf.DUMMYFUNCTION("if(isblank(A1427),,split(A1427,""-""))"),"")</f>
        <v/>
      </c>
      <c r="K1427" s="13" t="str">
        <f>IFERROR(__xludf.DUMMYFUNCTION("if(isblank(B1427),,split(B1427,""-""))"),"")</f>
        <v/>
      </c>
    </row>
    <row r="1428">
      <c r="A1428" s="132"/>
      <c r="B1428" s="41"/>
      <c r="C1428" s="9"/>
      <c r="D1428" s="133"/>
      <c r="E1428" s="133"/>
      <c r="F1428" s="24"/>
      <c r="G1428" s="24"/>
      <c r="I1428" s="13" t="str">
        <f>IFERROR(__xludf.DUMMYFUNCTION("if(isblank(A1428),,split(A1428,""-""))"),"")</f>
        <v/>
      </c>
      <c r="K1428" s="13" t="str">
        <f>IFERROR(__xludf.DUMMYFUNCTION("if(isblank(B1428),,split(B1428,""-""))"),"")</f>
        <v/>
      </c>
    </row>
    <row r="1429">
      <c r="A1429" s="132"/>
      <c r="B1429" s="41"/>
      <c r="C1429" s="9"/>
      <c r="D1429" s="133"/>
      <c r="E1429" s="133"/>
      <c r="F1429" s="24"/>
      <c r="G1429" s="24"/>
      <c r="I1429" s="13" t="str">
        <f>IFERROR(__xludf.DUMMYFUNCTION("if(isblank(A1429),,split(A1429,""-""))"),"")</f>
        <v/>
      </c>
      <c r="K1429" s="13" t="str">
        <f>IFERROR(__xludf.DUMMYFUNCTION("if(isblank(B1429),,split(B1429,""-""))"),"")</f>
        <v/>
      </c>
    </row>
    <row r="1430">
      <c r="A1430" s="132"/>
      <c r="B1430" s="41"/>
      <c r="C1430" s="9"/>
      <c r="D1430" s="133"/>
      <c r="E1430" s="133"/>
      <c r="F1430" s="24"/>
      <c r="G1430" s="24"/>
      <c r="I1430" s="13" t="str">
        <f>IFERROR(__xludf.DUMMYFUNCTION("if(isblank(A1430),,split(A1430,""-""))"),"")</f>
        <v/>
      </c>
      <c r="K1430" s="13" t="str">
        <f>IFERROR(__xludf.DUMMYFUNCTION("if(isblank(B1430),,split(B1430,""-""))"),"")</f>
        <v/>
      </c>
    </row>
    <row r="1431">
      <c r="A1431" s="132"/>
      <c r="B1431" s="41"/>
      <c r="C1431" s="9"/>
      <c r="D1431" s="133"/>
      <c r="E1431" s="133"/>
      <c r="F1431" s="24"/>
      <c r="G1431" s="24"/>
      <c r="I1431" s="13" t="str">
        <f>IFERROR(__xludf.DUMMYFUNCTION("if(isblank(A1431),,split(A1431,""-""))"),"")</f>
        <v/>
      </c>
      <c r="K1431" s="13" t="str">
        <f>IFERROR(__xludf.DUMMYFUNCTION("if(isblank(B1431),,split(B1431,""-""))"),"")</f>
        <v/>
      </c>
    </row>
    <row r="1432">
      <c r="A1432" s="132"/>
      <c r="B1432" s="41"/>
      <c r="C1432" s="9"/>
      <c r="D1432" s="133"/>
      <c r="E1432" s="133"/>
      <c r="F1432" s="24"/>
      <c r="G1432" s="24"/>
      <c r="I1432" s="13" t="str">
        <f>IFERROR(__xludf.DUMMYFUNCTION("if(isblank(A1432),,split(A1432,""-""))"),"")</f>
        <v/>
      </c>
      <c r="K1432" s="13" t="str">
        <f>IFERROR(__xludf.DUMMYFUNCTION("if(isblank(B1432),,split(B1432,""-""))"),"")</f>
        <v/>
      </c>
    </row>
    <row r="1433">
      <c r="A1433" s="132"/>
      <c r="B1433" s="41"/>
      <c r="C1433" s="9"/>
      <c r="D1433" s="133"/>
      <c r="E1433" s="133"/>
      <c r="F1433" s="24"/>
      <c r="G1433" s="24"/>
      <c r="I1433" s="13" t="str">
        <f>IFERROR(__xludf.DUMMYFUNCTION("if(isblank(A1433),,split(A1433,""-""))"),"")</f>
        <v/>
      </c>
      <c r="K1433" s="13" t="str">
        <f>IFERROR(__xludf.DUMMYFUNCTION("if(isblank(B1433),,split(B1433,""-""))"),"")</f>
        <v/>
      </c>
    </row>
    <row r="1434">
      <c r="A1434" s="132"/>
      <c r="B1434" s="41"/>
      <c r="C1434" s="9"/>
      <c r="D1434" s="133"/>
      <c r="E1434" s="133"/>
      <c r="F1434" s="24"/>
      <c r="G1434" s="24"/>
      <c r="I1434" s="13" t="str">
        <f>IFERROR(__xludf.DUMMYFUNCTION("if(isblank(A1434),,split(A1434,""-""))"),"")</f>
        <v/>
      </c>
      <c r="K1434" s="13" t="str">
        <f>IFERROR(__xludf.DUMMYFUNCTION("if(isblank(B1434),,split(B1434,""-""))"),"")</f>
        <v/>
      </c>
    </row>
    <row r="1435">
      <c r="A1435" s="132"/>
      <c r="B1435" s="41"/>
      <c r="C1435" s="9"/>
      <c r="D1435" s="133"/>
      <c r="E1435" s="133"/>
      <c r="F1435" s="24"/>
      <c r="G1435" s="24"/>
      <c r="I1435" s="13" t="str">
        <f>IFERROR(__xludf.DUMMYFUNCTION("if(isblank(A1435),,split(A1435,""-""))"),"")</f>
        <v/>
      </c>
      <c r="K1435" s="13" t="str">
        <f>IFERROR(__xludf.DUMMYFUNCTION("if(isblank(B1435),,split(B1435,""-""))"),"")</f>
        <v/>
      </c>
    </row>
    <row r="1436">
      <c r="A1436" s="132"/>
      <c r="B1436" s="41"/>
      <c r="C1436" s="9"/>
      <c r="D1436" s="133"/>
      <c r="E1436" s="133"/>
      <c r="F1436" s="24"/>
      <c r="G1436" s="24"/>
      <c r="I1436" s="13" t="str">
        <f>IFERROR(__xludf.DUMMYFUNCTION("if(isblank(A1436),,split(A1436,""-""))"),"")</f>
        <v/>
      </c>
      <c r="K1436" s="13" t="str">
        <f>IFERROR(__xludf.DUMMYFUNCTION("if(isblank(B1436),,split(B1436,""-""))"),"")</f>
        <v/>
      </c>
    </row>
    <row r="1437">
      <c r="A1437" s="132"/>
      <c r="B1437" s="41"/>
      <c r="C1437" s="9"/>
      <c r="D1437" s="133"/>
      <c r="E1437" s="133"/>
      <c r="F1437" s="24"/>
      <c r="G1437" s="24"/>
      <c r="I1437" s="13" t="str">
        <f>IFERROR(__xludf.DUMMYFUNCTION("if(isblank(A1437),,split(A1437,""-""))"),"")</f>
        <v/>
      </c>
      <c r="K1437" s="13" t="str">
        <f>IFERROR(__xludf.DUMMYFUNCTION("if(isblank(B1437),,split(B1437,""-""))"),"")</f>
        <v/>
      </c>
    </row>
    <row r="1438">
      <c r="A1438" s="132"/>
      <c r="B1438" s="41"/>
      <c r="C1438" s="9"/>
      <c r="D1438" s="133"/>
      <c r="E1438" s="133"/>
      <c r="F1438" s="24"/>
      <c r="G1438" s="24"/>
      <c r="I1438" s="13" t="str">
        <f>IFERROR(__xludf.DUMMYFUNCTION("if(isblank(A1438),,split(A1438,""-""))"),"")</f>
        <v/>
      </c>
      <c r="K1438" s="13" t="str">
        <f>IFERROR(__xludf.DUMMYFUNCTION("if(isblank(B1438),,split(B1438,""-""))"),"")</f>
        <v/>
      </c>
    </row>
    <row r="1439">
      <c r="A1439" s="132"/>
      <c r="B1439" s="41"/>
      <c r="C1439" s="9"/>
      <c r="D1439" s="133"/>
      <c r="E1439" s="133"/>
      <c r="F1439" s="24"/>
      <c r="G1439" s="24"/>
      <c r="I1439" s="13" t="str">
        <f>IFERROR(__xludf.DUMMYFUNCTION("if(isblank(A1439),,split(A1439,""-""))"),"")</f>
        <v/>
      </c>
      <c r="K1439" s="13" t="str">
        <f>IFERROR(__xludf.DUMMYFUNCTION("if(isblank(B1439),,split(B1439,""-""))"),"")</f>
        <v/>
      </c>
    </row>
    <row r="1440">
      <c r="A1440" s="132"/>
      <c r="B1440" s="41"/>
      <c r="C1440" s="9"/>
      <c r="D1440" s="133"/>
      <c r="E1440" s="133"/>
      <c r="F1440" s="24"/>
      <c r="G1440" s="24"/>
      <c r="I1440" s="13" t="str">
        <f>IFERROR(__xludf.DUMMYFUNCTION("if(isblank(A1440),,split(A1440,""-""))"),"")</f>
        <v/>
      </c>
      <c r="K1440" s="13" t="str">
        <f>IFERROR(__xludf.DUMMYFUNCTION("if(isblank(B1440),,split(B1440,""-""))"),"")</f>
        <v/>
      </c>
    </row>
    <row r="1441">
      <c r="A1441" s="132"/>
      <c r="B1441" s="41"/>
      <c r="C1441" s="9"/>
      <c r="D1441" s="133"/>
      <c r="E1441" s="133"/>
      <c r="F1441" s="24"/>
      <c r="G1441" s="24"/>
      <c r="I1441" s="13" t="str">
        <f>IFERROR(__xludf.DUMMYFUNCTION("if(isblank(A1441),,split(A1441,""-""))"),"")</f>
        <v/>
      </c>
      <c r="K1441" s="13" t="str">
        <f>IFERROR(__xludf.DUMMYFUNCTION("if(isblank(B1441),,split(B1441,""-""))"),"")</f>
        <v/>
      </c>
    </row>
    <row r="1442">
      <c r="A1442" s="132"/>
      <c r="B1442" s="41"/>
      <c r="C1442" s="9"/>
      <c r="D1442" s="133"/>
      <c r="E1442" s="133"/>
      <c r="F1442" s="24"/>
      <c r="G1442" s="24"/>
      <c r="I1442" s="13" t="str">
        <f>IFERROR(__xludf.DUMMYFUNCTION("if(isblank(A1442),,split(A1442,""-""))"),"")</f>
        <v/>
      </c>
      <c r="K1442" s="13" t="str">
        <f>IFERROR(__xludf.DUMMYFUNCTION("if(isblank(B1442),,split(B1442,""-""))"),"")</f>
        <v/>
      </c>
    </row>
    <row r="1443">
      <c r="A1443" s="132"/>
      <c r="B1443" s="41"/>
      <c r="C1443" s="9"/>
      <c r="D1443" s="133"/>
      <c r="E1443" s="133"/>
      <c r="F1443" s="24"/>
      <c r="G1443" s="24"/>
      <c r="I1443" s="13" t="str">
        <f>IFERROR(__xludf.DUMMYFUNCTION("if(isblank(A1443),,split(A1443,""-""))"),"")</f>
        <v/>
      </c>
      <c r="K1443" s="13" t="str">
        <f>IFERROR(__xludf.DUMMYFUNCTION("if(isblank(B1443),,split(B1443,""-""))"),"")</f>
        <v/>
      </c>
    </row>
    <row r="1444">
      <c r="A1444" s="132"/>
      <c r="B1444" s="41"/>
      <c r="C1444" s="9"/>
      <c r="D1444" s="133"/>
      <c r="E1444" s="133"/>
      <c r="F1444" s="24"/>
      <c r="G1444" s="24"/>
      <c r="I1444" s="13" t="str">
        <f>IFERROR(__xludf.DUMMYFUNCTION("if(isblank(A1444),,split(A1444,""-""))"),"")</f>
        <v/>
      </c>
      <c r="K1444" s="13" t="str">
        <f>IFERROR(__xludf.DUMMYFUNCTION("if(isblank(B1444),,split(B1444,""-""))"),"")</f>
        <v/>
      </c>
    </row>
    <row r="1445">
      <c r="A1445" s="132"/>
      <c r="B1445" s="41"/>
      <c r="C1445" s="9"/>
      <c r="D1445" s="133"/>
      <c r="E1445" s="133"/>
      <c r="F1445" s="24"/>
      <c r="G1445" s="24"/>
      <c r="I1445" s="13" t="str">
        <f>IFERROR(__xludf.DUMMYFUNCTION("if(isblank(A1445),,split(A1445,""-""))"),"")</f>
        <v/>
      </c>
      <c r="K1445" s="13" t="str">
        <f>IFERROR(__xludf.DUMMYFUNCTION("if(isblank(B1445),,split(B1445,""-""))"),"")</f>
        <v/>
      </c>
    </row>
    <row r="1446">
      <c r="A1446" s="132"/>
      <c r="B1446" s="41"/>
      <c r="C1446" s="9"/>
      <c r="D1446" s="133"/>
      <c r="E1446" s="133"/>
      <c r="F1446" s="24"/>
      <c r="G1446" s="24"/>
      <c r="I1446" s="13" t="str">
        <f>IFERROR(__xludf.DUMMYFUNCTION("if(isblank(A1446),,split(A1446,""-""))"),"")</f>
        <v/>
      </c>
      <c r="K1446" s="13" t="str">
        <f>IFERROR(__xludf.DUMMYFUNCTION("if(isblank(B1446),,split(B1446,""-""))"),"")</f>
        <v/>
      </c>
    </row>
    <row r="1447">
      <c r="A1447" s="132"/>
      <c r="B1447" s="41"/>
      <c r="C1447" s="9"/>
      <c r="D1447" s="133"/>
      <c r="E1447" s="133"/>
      <c r="F1447" s="24"/>
      <c r="G1447" s="24"/>
      <c r="I1447" s="13" t="str">
        <f>IFERROR(__xludf.DUMMYFUNCTION("if(isblank(A1447),,split(A1447,""-""))"),"")</f>
        <v/>
      </c>
      <c r="K1447" s="13" t="str">
        <f>IFERROR(__xludf.DUMMYFUNCTION("if(isblank(B1447),,split(B1447,""-""))"),"")</f>
        <v/>
      </c>
    </row>
    <row r="1448">
      <c r="A1448" s="132"/>
      <c r="B1448" s="41"/>
      <c r="C1448" s="9"/>
      <c r="D1448" s="133"/>
      <c r="E1448" s="133"/>
      <c r="F1448" s="24"/>
      <c r="G1448" s="24"/>
      <c r="I1448" s="13" t="str">
        <f>IFERROR(__xludf.DUMMYFUNCTION("if(isblank(A1448),,split(A1448,""-""))"),"")</f>
        <v/>
      </c>
      <c r="K1448" s="13" t="str">
        <f>IFERROR(__xludf.DUMMYFUNCTION("if(isblank(B1448),,split(B1448,""-""))"),"")</f>
        <v/>
      </c>
    </row>
    <row r="1449">
      <c r="A1449" s="132"/>
      <c r="B1449" s="41"/>
      <c r="C1449" s="9"/>
      <c r="D1449" s="133"/>
      <c r="E1449" s="133"/>
      <c r="F1449" s="24"/>
      <c r="G1449" s="24"/>
      <c r="I1449" s="13" t="str">
        <f>IFERROR(__xludf.DUMMYFUNCTION("if(isblank(A1449),,split(A1449,""-""))"),"")</f>
        <v/>
      </c>
      <c r="K1449" s="13" t="str">
        <f>IFERROR(__xludf.DUMMYFUNCTION("if(isblank(B1449),,split(B1449,""-""))"),"")</f>
        <v/>
      </c>
    </row>
    <row r="1450">
      <c r="A1450" s="132"/>
      <c r="B1450" s="41"/>
      <c r="C1450" s="9"/>
      <c r="D1450" s="133"/>
      <c r="E1450" s="133"/>
      <c r="F1450" s="24"/>
      <c r="G1450" s="24"/>
      <c r="I1450" s="13" t="str">
        <f>IFERROR(__xludf.DUMMYFUNCTION("if(isblank(A1450),,split(A1450,""-""))"),"")</f>
        <v/>
      </c>
      <c r="K1450" s="13" t="str">
        <f>IFERROR(__xludf.DUMMYFUNCTION("if(isblank(B1450),,split(B1450,""-""))"),"")</f>
        <v/>
      </c>
    </row>
    <row r="1451">
      <c r="A1451" s="132"/>
      <c r="B1451" s="41"/>
      <c r="C1451" s="9"/>
      <c r="D1451" s="133"/>
      <c r="E1451" s="133"/>
      <c r="F1451" s="24"/>
      <c r="G1451" s="24"/>
      <c r="I1451" s="13" t="str">
        <f>IFERROR(__xludf.DUMMYFUNCTION("if(isblank(A1451),,split(A1451,""-""))"),"")</f>
        <v/>
      </c>
      <c r="K1451" s="13" t="str">
        <f>IFERROR(__xludf.DUMMYFUNCTION("if(isblank(B1451),,split(B1451,""-""))"),"")</f>
        <v/>
      </c>
    </row>
    <row r="1452">
      <c r="A1452" s="132"/>
      <c r="B1452" s="41"/>
      <c r="C1452" s="9"/>
      <c r="D1452" s="133"/>
      <c r="E1452" s="133"/>
      <c r="F1452" s="24"/>
      <c r="G1452" s="24"/>
      <c r="I1452" s="13" t="str">
        <f>IFERROR(__xludf.DUMMYFUNCTION("if(isblank(A1452),,split(A1452,""-""))"),"")</f>
        <v/>
      </c>
      <c r="K1452" s="13" t="str">
        <f>IFERROR(__xludf.DUMMYFUNCTION("if(isblank(B1452),,split(B1452,""-""))"),"")</f>
        <v/>
      </c>
    </row>
    <row r="1453">
      <c r="A1453" s="132"/>
      <c r="B1453" s="41"/>
      <c r="C1453" s="9"/>
      <c r="D1453" s="133"/>
      <c r="E1453" s="133"/>
      <c r="F1453" s="24"/>
      <c r="G1453" s="24"/>
      <c r="I1453" s="13" t="str">
        <f>IFERROR(__xludf.DUMMYFUNCTION("if(isblank(A1453),,split(A1453,""-""))"),"")</f>
        <v/>
      </c>
      <c r="K1453" s="13" t="str">
        <f>IFERROR(__xludf.DUMMYFUNCTION("if(isblank(B1453),,split(B1453,""-""))"),"")</f>
        <v/>
      </c>
    </row>
    <row r="1454">
      <c r="A1454" s="132"/>
      <c r="B1454" s="41"/>
      <c r="C1454" s="9"/>
      <c r="D1454" s="133"/>
      <c r="E1454" s="133"/>
      <c r="F1454" s="24"/>
      <c r="G1454" s="24"/>
      <c r="I1454" s="13" t="str">
        <f>IFERROR(__xludf.DUMMYFUNCTION("if(isblank(A1454),,split(A1454,""-""))"),"")</f>
        <v/>
      </c>
      <c r="K1454" s="13" t="str">
        <f>IFERROR(__xludf.DUMMYFUNCTION("if(isblank(B1454),,split(B1454,""-""))"),"")</f>
        <v/>
      </c>
    </row>
    <row r="1455">
      <c r="A1455" s="132"/>
      <c r="B1455" s="41"/>
      <c r="C1455" s="9"/>
      <c r="D1455" s="133"/>
      <c r="E1455" s="133"/>
      <c r="F1455" s="24"/>
      <c r="G1455" s="24"/>
      <c r="I1455" s="13" t="str">
        <f>IFERROR(__xludf.DUMMYFUNCTION("if(isblank(A1455),,split(A1455,""-""))"),"")</f>
        <v/>
      </c>
      <c r="K1455" s="13" t="str">
        <f>IFERROR(__xludf.DUMMYFUNCTION("if(isblank(B1455),,split(B1455,""-""))"),"")</f>
        <v/>
      </c>
    </row>
    <row r="1456">
      <c r="A1456" s="132"/>
      <c r="B1456" s="41"/>
      <c r="C1456" s="9"/>
      <c r="D1456" s="133"/>
      <c r="E1456" s="133"/>
      <c r="F1456" s="24"/>
      <c r="G1456" s="24"/>
      <c r="I1456" s="13" t="str">
        <f>IFERROR(__xludf.DUMMYFUNCTION("if(isblank(A1456),,split(A1456,""-""))"),"")</f>
        <v/>
      </c>
      <c r="K1456" s="13" t="str">
        <f>IFERROR(__xludf.DUMMYFUNCTION("if(isblank(B1456),,split(B1456,""-""))"),"")</f>
        <v/>
      </c>
    </row>
    <row r="1457">
      <c r="A1457" s="132"/>
      <c r="B1457" s="41"/>
      <c r="C1457" s="9"/>
      <c r="D1457" s="133"/>
      <c r="E1457" s="133"/>
      <c r="F1457" s="24"/>
      <c r="G1457" s="24"/>
      <c r="I1457" s="13" t="str">
        <f>IFERROR(__xludf.DUMMYFUNCTION("if(isblank(A1457),,split(A1457,""-""))"),"")</f>
        <v/>
      </c>
      <c r="K1457" s="13" t="str">
        <f>IFERROR(__xludf.DUMMYFUNCTION("if(isblank(B1457),,split(B1457,""-""))"),"")</f>
        <v/>
      </c>
    </row>
    <row r="1458">
      <c r="A1458" s="132"/>
      <c r="B1458" s="41"/>
      <c r="C1458" s="9"/>
      <c r="D1458" s="133"/>
      <c r="E1458" s="133"/>
      <c r="F1458" s="24"/>
      <c r="G1458" s="24"/>
      <c r="I1458" s="13" t="str">
        <f>IFERROR(__xludf.DUMMYFUNCTION("if(isblank(A1458),,split(A1458,""-""))"),"")</f>
        <v/>
      </c>
      <c r="K1458" s="13" t="str">
        <f>IFERROR(__xludf.DUMMYFUNCTION("if(isblank(B1458),,split(B1458,""-""))"),"")</f>
        <v/>
      </c>
    </row>
    <row r="1459">
      <c r="A1459" s="132"/>
      <c r="B1459" s="41"/>
      <c r="C1459" s="9"/>
      <c r="D1459" s="133"/>
      <c r="E1459" s="133"/>
      <c r="F1459" s="24"/>
      <c r="G1459" s="24"/>
      <c r="I1459" s="13" t="str">
        <f>IFERROR(__xludf.DUMMYFUNCTION("if(isblank(A1459),,split(A1459,""-""))"),"")</f>
        <v/>
      </c>
      <c r="K1459" s="13" t="str">
        <f>IFERROR(__xludf.DUMMYFUNCTION("if(isblank(B1459),,split(B1459,""-""))"),"")</f>
        <v/>
      </c>
    </row>
    <row r="1460">
      <c r="A1460" s="132"/>
      <c r="B1460" s="41"/>
      <c r="C1460" s="9"/>
      <c r="D1460" s="133"/>
      <c r="E1460" s="133"/>
      <c r="F1460" s="24"/>
      <c r="G1460" s="24"/>
      <c r="I1460" s="13" t="str">
        <f>IFERROR(__xludf.DUMMYFUNCTION("if(isblank(A1460),,split(A1460,""-""))"),"")</f>
        <v/>
      </c>
      <c r="K1460" s="13" t="str">
        <f>IFERROR(__xludf.DUMMYFUNCTION("if(isblank(B1460),,split(B1460,""-""))"),"")</f>
        <v/>
      </c>
    </row>
    <row r="1461">
      <c r="A1461" s="132"/>
      <c r="B1461" s="41"/>
      <c r="C1461" s="9"/>
      <c r="D1461" s="133"/>
      <c r="E1461" s="133"/>
      <c r="F1461" s="24"/>
      <c r="G1461" s="24"/>
      <c r="I1461" s="13" t="str">
        <f>IFERROR(__xludf.DUMMYFUNCTION("if(isblank(A1461),,split(A1461,""-""))"),"")</f>
        <v/>
      </c>
      <c r="K1461" s="13" t="str">
        <f>IFERROR(__xludf.DUMMYFUNCTION("if(isblank(B1461),,split(B1461,""-""))"),"")</f>
        <v/>
      </c>
    </row>
    <row r="1462">
      <c r="A1462" s="132"/>
      <c r="B1462" s="41"/>
      <c r="C1462" s="9"/>
      <c r="D1462" s="133"/>
      <c r="E1462" s="133"/>
      <c r="F1462" s="24"/>
      <c r="G1462" s="24"/>
      <c r="I1462" s="13" t="str">
        <f>IFERROR(__xludf.DUMMYFUNCTION("if(isblank(A1462),,split(A1462,""-""))"),"")</f>
        <v/>
      </c>
      <c r="K1462" s="13" t="str">
        <f>IFERROR(__xludf.DUMMYFUNCTION("if(isblank(B1462),,split(B1462,""-""))"),"")</f>
        <v/>
      </c>
    </row>
    <row r="1463">
      <c r="A1463" s="132"/>
      <c r="B1463" s="41"/>
      <c r="C1463" s="9"/>
      <c r="D1463" s="133"/>
      <c r="E1463" s="133"/>
      <c r="F1463" s="24"/>
      <c r="G1463" s="24"/>
      <c r="I1463" s="13" t="str">
        <f>IFERROR(__xludf.DUMMYFUNCTION("if(isblank(A1463),,split(A1463,""-""))"),"")</f>
        <v/>
      </c>
      <c r="K1463" s="13" t="str">
        <f>IFERROR(__xludf.DUMMYFUNCTION("if(isblank(B1463),,split(B1463,""-""))"),"")</f>
        <v/>
      </c>
    </row>
    <row r="1464">
      <c r="A1464" s="132"/>
      <c r="B1464" s="41"/>
      <c r="C1464" s="9"/>
      <c r="D1464" s="133"/>
      <c r="E1464" s="133"/>
      <c r="F1464" s="24"/>
      <c r="G1464" s="24"/>
      <c r="I1464" s="13" t="str">
        <f>IFERROR(__xludf.DUMMYFUNCTION("if(isblank(A1464),,split(A1464,""-""))"),"")</f>
        <v/>
      </c>
      <c r="K1464" s="13" t="str">
        <f>IFERROR(__xludf.DUMMYFUNCTION("if(isblank(B1464),,split(B1464,""-""))"),"")</f>
        <v/>
      </c>
    </row>
    <row r="1465">
      <c r="A1465" s="132"/>
      <c r="B1465" s="41"/>
      <c r="C1465" s="9"/>
      <c r="D1465" s="133"/>
      <c r="E1465" s="133"/>
      <c r="F1465" s="24"/>
      <c r="G1465" s="24"/>
      <c r="I1465" s="13" t="str">
        <f>IFERROR(__xludf.DUMMYFUNCTION("if(isblank(A1465),,split(A1465,""-""))"),"")</f>
        <v/>
      </c>
      <c r="K1465" s="13" t="str">
        <f>IFERROR(__xludf.DUMMYFUNCTION("if(isblank(B1465),,split(B1465,""-""))"),"")</f>
        <v/>
      </c>
    </row>
    <row r="1466">
      <c r="A1466" s="132"/>
      <c r="B1466" s="41"/>
      <c r="C1466" s="9"/>
      <c r="D1466" s="133"/>
      <c r="E1466" s="133"/>
      <c r="F1466" s="24"/>
      <c r="G1466" s="24"/>
      <c r="I1466" s="13" t="str">
        <f>IFERROR(__xludf.DUMMYFUNCTION("if(isblank(A1466),,split(A1466,""-""))"),"")</f>
        <v/>
      </c>
      <c r="K1466" s="13" t="str">
        <f>IFERROR(__xludf.DUMMYFUNCTION("if(isblank(B1466),,split(B1466,""-""))"),"")</f>
        <v/>
      </c>
    </row>
    <row r="1467">
      <c r="A1467" s="132"/>
      <c r="B1467" s="41"/>
      <c r="C1467" s="9"/>
      <c r="D1467" s="133"/>
      <c r="E1467" s="133"/>
      <c r="F1467" s="24"/>
      <c r="G1467" s="24"/>
      <c r="I1467" s="13" t="str">
        <f>IFERROR(__xludf.DUMMYFUNCTION("if(isblank(A1467),,split(A1467,""-""))"),"")</f>
        <v/>
      </c>
      <c r="K1467" s="13" t="str">
        <f>IFERROR(__xludf.DUMMYFUNCTION("if(isblank(B1467),,split(B1467,""-""))"),"")</f>
        <v/>
      </c>
    </row>
    <row r="1468">
      <c r="A1468" s="132"/>
      <c r="B1468" s="41"/>
      <c r="C1468" s="9"/>
      <c r="D1468" s="133"/>
      <c r="E1468" s="133"/>
      <c r="F1468" s="24"/>
      <c r="G1468" s="24"/>
      <c r="I1468" s="13" t="str">
        <f>IFERROR(__xludf.DUMMYFUNCTION("if(isblank(A1468),,split(A1468,""-""))"),"")</f>
        <v/>
      </c>
      <c r="K1468" s="13" t="str">
        <f>IFERROR(__xludf.DUMMYFUNCTION("if(isblank(B1468),,split(B1468,""-""))"),"")</f>
        <v/>
      </c>
    </row>
    <row r="1469">
      <c r="A1469" s="132"/>
      <c r="B1469" s="41"/>
      <c r="C1469" s="9"/>
      <c r="D1469" s="133"/>
      <c r="E1469" s="133"/>
      <c r="F1469" s="24"/>
      <c r="G1469" s="24"/>
      <c r="I1469" s="13" t="str">
        <f>IFERROR(__xludf.DUMMYFUNCTION("if(isblank(A1469),,split(A1469,""-""))"),"")</f>
        <v/>
      </c>
      <c r="K1469" s="13" t="str">
        <f>IFERROR(__xludf.DUMMYFUNCTION("if(isblank(B1469),,split(B1469,""-""))"),"")</f>
        <v/>
      </c>
    </row>
    <row r="1470">
      <c r="A1470" s="132"/>
      <c r="B1470" s="41"/>
      <c r="C1470" s="9"/>
      <c r="D1470" s="133"/>
      <c r="E1470" s="133"/>
      <c r="F1470" s="24"/>
      <c r="G1470" s="24"/>
      <c r="I1470" s="13" t="str">
        <f>IFERROR(__xludf.DUMMYFUNCTION("if(isblank(A1470),,split(A1470,""-""))"),"")</f>
        <v/>
      </c>
      <c r="K1470" s="13" t="str">
        <f>IFERROR(__xludf.DUMMYFUNCTION("if(isblank(B1470),,split(B1470,""-""))"),"")</f>
        <v/>
      </c>
    </row>
    <row r="1471">
      <c r="A1471" s="132"/>
      <c r="B1471" s="41"/>
      <c r="C1471" s="9"/>
      <c r="D1471" s="133"/>
      <c r="E1471" s="133"/>
      <c r="F1471" s="24"/>
      <c r="G1471" s="24"/>
      <c r="I1471" s="13" t="str">
        <f>IFERROR(__xludf.DUMMYFUNCTION("if(isblank(A1471),,split(A1471,""-""))"),"")</f>
        <v/>
      </c>
      <c r="K1471" s="13" t="str">
        <f>IFERROR(__xludf.DUMMYFUNCTION("if(isblank(B1471),,split(B1471,""-""))"),"")</f>
        <v/>
      </c>
    </row>
    <row r="1472">
      <c r="A1472" s="132"/>
      <c r="B1472" s="41"/>
      <c r="C1472" s="9"/>
      <c r="D1472" s="133"/>
      <c r="E1472" s="133"/>
      <c r="F1472" s="24"/>
      <c r="G1472" s="24"/>
      <c r="I1472" s="13" t="str">
        <f>IFERROR(__xludf.DUMMYFUNCTION("if(isblank(A1472),,split(A1472,""-""))"),"")</f>
        <v/>
      </c>
      <c r="K1472" s="13" t="str">
        <f>IFERROR(__xludf.DUMMYFUNCTION("if(isblank(B1472),,split(B1472,""-""))"),"")</f>
        <v/>
      </c>
    </row>
    <row r="1473">
      <c r="A1473" s="132"/>
      <c r="B1473" s="41"/>
      <c r="C1473" s="9"/>
      <c r="D1473" s="133"/>
      <c r="E1473" s="133"/>
      <c r="F1473" s="24"/>
      <c r="G1473" s="24"/>
      <c r="I1473" s="13" t="str">
        <f>IFERROR(__xludf.DUMMYFUNCTION("if(isblank(A1473),,split(A1473,""-""))"),"")</f>
        <v/>
      </c>
      <c r="K1473" s="13" t="str">
        <f>IFERROR(__xludf.DUMMYFUNCTION("if(isblank(B1473),,split(B1473,""-""))"),"")</f>
        <v/>
      </c>
    </row>
    <row r="1474">
      <c r="A1474" s="132"/>
      <c r="B1474" s="41"/>
      <c r="C1474" s="9"/>
      <c r="D1474" s="133"/>
      <c r="E1474" s="133"/>
      <c r="F1474" s="24"/>
      <c r="G1474" s="24"/>
      <c r="I1474" s="13" t="str">
        <f>IFERROR(__xludf.DUMMYFUNCTION("if(isblank(A1474),,split(A1474,""-""))"),"")</f>
        <v/>
      </c>
      <c r="K1474" s="13" t="str">
        <f>IFERROR(__xludf.DUMMYFUNCTION("if(isblank(B1474),,split(B1474,""-""))"),"")</f>
        <v/>
      </c>
    </row>
    <row r="1475">
      <c r="A1475" s="132"/>
      <c r="B1475" s="41"/>
      <c r="C1475" s="9"/>
      <c r="D1475" s="133"/>
      <c r="E1475" s="133"/>
      <c r="F1475" s="24"/>
      <c r="G1475" s="24"/>
      <c r="I1475" s="13" t="str">
        <f>IFERROR(__xludf.DUMMYFUNCTION("if(isblank(A1475),,split(A1475,""-""))"),"")</f>
        <v/>
      </c>
      <c r="K1475" s="13" t="str">
        <f>IFERROR(__xludf.DUMMYFUNCTION("if(isblank(B1475),,split(B1475,""-""))"),"")</f>
        <v/>
      </c>
    </row>
    <row r="1476">
      <c r="A1476" s="132"/>
      <c r="B1476" s="41"/>
      <c r="C1476" s="9"/>
      <c r="D1476" s="133"/>
      <c r="E1476" s="133"/>
      <c r="F1476" s="24"/>
      <c r="G1476" s="24"/>
      <c r="I1476" s="13" t="str">
        <f>IFERROR(__xludf.DUMMYFUNCTION("if(isblank(A1476),,split(A1476,""-""))"),"")</f>
        <v/>
      </c>
      <c r="K1476" s="13" t="str">
        <f>IFERROR(__xludf.DUMMYFUNCTION("if(isblank(B1476),,split(B1476,""-""))"),"")</f>
        <v/>
      </c>
    </row>
    <row r="1477">
      <c r="A1477" s="132"/>
      <c r="B1477" s="41"/>
      <c r="C1477" s="9"/>
      <c r="D1477" s="133"/>
      <c r="E1477" s="133"/>
      <c r="F1477" s="24"/>
      <c r="G1477" s="24"/>
      <c r="I1477" s="13" t="str">
        <f>IFERROR(__xludf.DUMMYFUNCTION("if(isblank(A1477),,split(A1477,""-""))"),"")</f>
        <v/>
      </c>
      <c r="K1477" s="13" t="str">
        <f>IFERROR(__xludf.DUMMYFUNCTION("if(isblank(B1477),,split(B1477,""-""))"),"")</f>
        <v/>
      </c>
    </row>
    <row r="1478">
      <c r="A1478" s="132"/>
      <c r="B1478" s="41"/>
      <c r="C1478" s="9"/>
      <c r="D1478" s="133"/>
      <c r="E1478" s="133"/>
      <c r="F1478" s="24"/>
      <c r="G1478" s="24"/>
      <c r="I1478" s="13" t="str">
        <f>IFERROR(__xludf.DUMMYFUNCTION("if(isblank(A1478),,split(A1478,""-""))"),"")</f>
        <v/>
      </c>
      <c r="K1478" s="13" t="str">
        <f>IFERROR(__xludf.DUMMYFUNCTION("if(isblank(B1478),,split(B1478,""-""))"),"")</f>
        <v/>
      </c>
    </row>
    <row r="1479">
      <c r="A1479" s="132"/>
      <c r="B1479" s="41"/>
      <c r="C1479" s="9"/>
      <c r="D1479" s="133"/>
      <c r="E1479" s="133"/>
      <c r="F1479" s="24"/>
      <c r="G1479" s="24"/>
      <c r="I1479" s="13" t="str">
        <f>IFERROR(__xludf.DUMMYFUNCTION("if(isblank(A1479),,split(A1479,""-""))"),"")</f>
        <v/>
      </c>
      <c r="K1479" s="13" t="str">
        <f>IFERROR(__xludf.DUMMYFUNCTION("if(isblank(B1479),,split(B1479,""-""))"),"")</f>
        <v/>
      </c>
    </row>
    <row r="1480">
      <c r="A1480" s="132"/>
      <c r="B1480" s="41"/>
      <c r="C1480" s="9"/>
      <c r="D1480" s="133"/>
      <c r="E1480" s="133"/>
      <c r="F1480" s="24"/>
      <c r="G1480" s="24"/>
      <c r="I1480" s="13" t="str">
        <f>IFERROR(__xludf.DUMMYFUNCTION("if(isblank(A1480),,split(A1480,""-""))"),"")</f>
        <v/>
      </c>
      <c r="K1480" s="13" t="str">
        <f>IFERROR(__xludf.DUMMYFUNCTION("if(isblank(B1480),,split(B1480,""-""))"),"")</f>
        <v/>
      </c>
    </row>
    <row r="1481">
      <c r="A1481" s="132"/>
      <c r="B1481" s="41"/>
      <c r="C1481" s="9"/>
      <c r="D1481" s="133"/>
      <c r="E1481" s="133"/>
      <c r="F1481" s="24"/>
      <c r="G1481" s="24"/>
      <c r="I1481" s="13" t="str">
        <f>IFERROR(__xludf.DUMMYFUNCTION("if(isblank(A1481),,split(A1481,""-""))"),"")</f>
        <v/>
      </c>
      <c r="K1481" s="13" t="str">
        <f>IFERROR(__xludf.DUMMYFUNCTION("if(isblank(B1481),,split(B1481,""-""))"),"")</f>
        <v/>
      </c>
    </row>
    <row r="1482">
      <c r="A1482" s="132"/>
      <c r="B1482" s="41"/>
      <c r="C1482" s="9"/>
      <c r="D1482" s="133"/>
      <c r="E1482" s="133"/>
      <c r="F1482" s="24"/>
      <c r="G1482" s="24"/>
      <c r="I1482" s="13" t="str">
        <f>IFERROR(__xludf.DUMMYFUNCTION("if(isblank(A1482),,split(A1482,""-""))"),"")</f>
        <v/>
      </c>
      <c r="K1482" s="13" t="str">
        <f>IFERROR(__xludf.DUMMYFUNCTION("if(isblank(B1482),,split(B1482,""-""))"),"")</f>
        <v/>
      </c>
    </row>
    <row r="1483">
      <c r="A1483" s="132"/>
      <c r="B1483" s="41"/>
      <c r="C1483" s="9"/>
      <c r="D1483" s="133"/>
      <c r="E1483" s="133"/>
      <c r="F1483" s="24"/>
      <c r="G1483" s="24"/>
      <c r="I1483" s="13" t="str">
        <f>IFERROR(__xludf.DUMMYFUNCTION("if(isblank(A1483),,split(A1483,""-""))"),"")</f>
        <v/>
      </c>
      <c r="K1483" s="13" t="str">
        <f>IFERROR(__xludf.DUMMYFUNCTION("if(isblank(B1483),,split(B1483,""-""))"),"")</f>
        <v/>
      </c>
    </row>
    <row r="1484">
      <c r="A1484" s="132"/>
      <c r="B1484" s="41"/>
      <c r="C1484" s="9"/>
      <c r="D1484" s="133"/>
      <c r="E1484" s="133"/>
      <c r="F1484" s="24"/>
      <c r="G1484" s="24"/>
      <c r="I1484" s="13" t="str">
        <f>IFERROR(__xludf.DUMMYFUNCTION("if(isblank(A1484),,split(A1484,""-""))"),"")</f>
        <v/>
      </c>
      <c r="K1484" s="13" t="str">
        <f>IFERROR(__xludf.DUMMYFUNCTION("if(isblank(B1484),,split(B1484,""-""))"),"")</f>
        <v/>
      </c>
    </row>
    <row r="1485">
      <c r="A1485" s="132"/>
      <c r="B1485" s="41"/>
      <c r="C1485" s="9"/>
      <c r="D1485" s="133"/>
      <c r="E1485" s="133"/>
      <c r="F1485" s="24"/>
      <c r="G1485" s="24"/>
      <c r="I1485" s="13" t="str">
        <f>IFERROR(__xludf.DUMMYFUNCTION("if(isblank(A1485),,split(A1485,""-""))"),"")</f>
        <v/>
      </c>
      <c r="K1485" s="13" t="str">
        <f>IFERROR(__xludf.DUMMYFUNCTION("if(isblank(B1485),,split(B1485,""-""))"),"")</f>
        <v/>
      </c>
    </row>
    <row r="1486">
      <c r="A1486" s="132"/>
      <c r="B1486" s="41"/>
      <c r="C1486" s="9"/>
      <c r="D1486" s="133"/>
      <c r="E1486" s="133"/>
      <c r="F1486" s="24"/>
      <c r="G1486" s="24"/>
      <c r="I1486" s="13" t="str">
        <f>IFERROR(__xludf.DUMMYFUNCTION("if(isblank(A1486),,split(A1486,""-""))"),"")</f>
        <v/>
      </c>
      <c r="K1486" s="13" t="str">
        <f>IFERROR(__xludf.DUMMYFUNCTION("if(isblank(B1486),,split(B1486,""-""))"),"")</f>
        <v/>
      </c>
    </row>
    <row r="1487">
      <c r="A1487" s="132"/>
      <c r="B1487" s="41"/>
      <c r="C1487" s="9"/>
      <c r="D1487" s="133"/>
      <c r="E1487" s="133"/>
      <c r="F1487" s="24"/>
      <c r="G1487" s="24"/>
      <c r="I1487" s="13" t="str">
        <f>IFERROR(__xludf.DUMMYFUNCTION("if(isblank(A1487),,split(A1487,""-""))"),"")</f>
        <v/>
      </c>
      <c r="K1487" s="13" t="str">
        <f>IFERROR(__xludf.DUMMYFUNCTION("if(isblank(B1487),,split(B1487,""-""))"),"")</f>
        <v/>
      </c>
    </row>
    <row r="1488">
      <c r="A1488" s="132"/>
      <c r="B1488" s="41"/>
      <c r="C1488" s="9"/>
      <c r="D1488" s="133"/>
      <c r="E1488" s="133"/>
      <c r="F1488" s="24"/>
      <c r="G1488" s="24"/>
      <c r="I1488" s="13" t="str">
        <f>IFERROR(__xludf.DUMMYFUNCTION("if(isblank(A1488),,split(A1488,""-""))"),"")</f>
        <v/>
      </c>
      <c r="K1488" s="13" t="str">
        <f>IFERROR(__xludf.DUMMYFUNCTION("if(isblank(B1488),,split(B1488,""-""))"),"")</f>
        <v/>
      </c>
    </row>
    <row r="1489">
      <c r="A1489" s="132"/>
      <c r="B1489" s="41"/>
      <c r="C1489" s="9"/>
      <c r="D1489" s="133"/>
      <c r="E1489" s="133"/>
      <c r="F1489" s="24"/>
      <c r="G1489" s="24"/>
      <c r="I1489" s="13" t="str">
        <f>IFERROR(__xludf.DUMMYFUNCTION("if(isblank(A1489),,split(A1489,""-""))"),"")</f>
        <v/>
      </c>
      <c r="K1489" s="13" t="str">
        <f>IFERROR(__xludf.DUMMYFUNCTION("if(isblank(B1489),,split(B1489,""-""))"),"")</f>
        <v/>
      </c>
    </row>
    <row r="1490">
      <c r="A1490" s="132"/>
      <c r="B1490" s="41"/>
      <c r="C1490" s="9"/>
      <c r="D1490" s="133"/>
      <c r="E1490" s="133"/>
      <c r="F1490" s="24"/>
      <c r="G1490" s="24"/>
      <c r="I1490" s="13" t="str">
        <f>IFERROR(__xludf.DUMMYFUNCTION("if(isblank(A1490),,split(A1490,""-""))"),"")</f>
        <v/>
      </c>
      <c r="K1490" s="13" t="str">
        <f>IFERROR(__xludf.DUMMYFUNCTION("if(isblank(B1490),,split(B1490,""-""))"),"")</f>
        <v/>
      </c>
    </row>
    <row r="1491">
      <c r="A1491" s="132"/>
      <c r="B1491" s="41"/>
      <c r="C1491" s="9"/>
      <c r="D1491" s="133"/>
      <c r="E1491" s="133"/>
      <c r="F1491" s="24"/>
      <c r="G1491" s="24"/>
      <c r="I1491" s="13" t="str">
        <f>IFERROR(__xludf.DUMMYFUNCTION("if(isblank(A1491),,split(A1491,""-""))"),"")</f>
        <v/>
      </c>
      <c r="K1491" s="13" t="str">
        <f>IFERROR(__xludf.DUMMYFUNCTION("if(isblank(B1491),,split(B1491,""-""))"),"")</f>
        <v/>
      </c>
    </row>
    <row r="1492">
      <c r="A1492" s="132"/>
      <c r="B1492" s="41"/>
      <c r="C1492" s="9"/>
      <c r="D1492" s="133"/>
      <c r="E1492" s="133"/>
      <c r="F1492" s="24"/>
      <c r="G1492" s="24"/>
      <c r="I1492" s="13" t="str">
        <f>IFERROR(__xludf.DUMMYFUNCTION("if(isblank(A1492),,split(A1492,""-""))"),"")</f>
        <v/>
      </c>
      <c r="K1492" s="13" t="str">
        <f>IFERROR(__xludf.DUMMYFUNCTION("if(isblank(B1492),,split(B1492,""-""))"),"")</f>
        <v/>
      </c>
    </row>
    <row r="1493">
      <c r="A1493" s="132"/>
      <c r="B1493" s="41"/>
      <c r="C1493" s="9"/>
      <c r="D1493" s="133"/>
      <c r="E1493" s="133"/>
      <c r="F1493" s="24"/>
      <c r="G1493" s="24"/>
      <c r="I1493" s="13" t="str">
        <f>IFERROR(__xludf.DUMMYFUNCTION("if(isblank(A1493),,split(A1493,""-""))"),"")</f>
        <v/>
      </c>
      <c r="K1493" s="13" t="str">
        <f>IFERROR(__xludf.DUMMYFUNCTION("if(isblank(B1493),,split(B1493,""-""))"),"")</f>
        <v/>
      </c>
    </row>
    <row r="1494">
      <c r="A1494" s="132"/>
      <c r="B1494" s="41"/>
      <c r="C1494" s="9"/>
      <c r="D1494" s="133"/>
      <c r="E1494" s="133"/>
      <c r="F1494" s="24"/>
      <c r="G1494" s="24"/>
      <c r="I1494" s="13" t="str">
        <f>IFERROR(__xludf.DUMMYFUNCTION("if(isblank(A1494),,split(A1494,""-""))"),"")</f>
        <v/>
      </c>
      <c r="K1494" s="13" t="str">
        <f>IFERROR(__xludf.DUMMYFUNCTION("if(isblank(B1494),,split(B1494,""-""))"),"")</f>
        <v/>
      </c>
    </row>
    <row r="1495">
      <c r="A1495" s="132"/>
      <c r="B1495" s="41"/>
      <c r="C1495" s="9"/>
      <c r="D1495" s="133"/>
      <c r="E1495" s="133"/>
      <c r="F1495" s="24"/>
      <c r="G1495" s="24"/>
      <c r="I1495" s="13" t="str">
        <f>IFERROR(__xludf.DUMMYFUNCTION("if(isblank(A1495),,split(A1495,""-""))"),"")</f>
        <v/>
      </c>
      <c r="K1495" s="13" t="str">
        <f>IFERROR(__xludf.DUMMYFUNCTION("if(isblank(B1495),,split(B1495,""-""))"),"")</f>
        <v/>
      </c>
    </row>
    <row r="1496">
      <c r="A1496" s="132"/>
      <c r="B1496" s="41"/>
      <c r="C1496" s="9"/>
      <c r="D1496" s="133"/>
      <c r="E1496" s="133"/>
      <c r="F1496" s="24"/>
      <c r="G1496" s="24"/>
      <c r="I1496" s="13" t="str">
        <f>IFERROR(__xludf.DUMMYFUNCTION("if(isblank(A1496),,split(A1496,""-""))"),"")</f>
        <v/>
      </c>
      <c r="K1496" s="13" t="str">
        <f>IFERROR(__xludf.DUMMYFUNCTION("if(isblank(B1496),,split(B1496,""-""))"),"")</f>
        <v/>
      </c>
    </row>
    <row r="1497">
      <c r="A1497" s="132"/>
      <c r="B1497" s="41"/>
      <c r="C1497" s="9"/>
      <c r="D1497" s="133"/>
      <c r="E1497" s="133"/>
      <c r="F1497" s="24"/>
      <c r="G1497" s="24"/>
      <c r="I1497" s="13" t="str">
        <f>IFERROR(__xludf.DUMMYFUNCTION("if(isblank(A1497),,split(A1497,""-""))"),"")</f>
        <v/>
      </c>
      <c r="K1497" s="13" t="str">
        <f>IFERROR(__xludf.DUMMYFUNCTION("if(isblank(B1497),,split(B1497,""-""))"),"")</f>
        <v/>
      </c>
    </row>
    <row r="1498">
      <c r="A1498" s="132"/>
      <c r="B1498" s="41"/>
      <c r="C1498" s="9"/>
      <c r="D1498" s="133"/>
      <c r="E1498" s="133"/>
      <c r="F1498" s="24"/>
      <c r="G1498" s="24"/>
      <c r="I1498" s="13" t="str">
        <f>IFERROR(__xludf.DUMMYFUNCTION("if(isblank(A1498),,split(A1498,""-""))"),"")</f>
        <v/>
      </c>
      <c r="K1498" s="13" t="str">
        <f>IFERROR(__xludf.DUMMYFUNCTION("if(isblank(B1498),,split(B1498,""-""))"),"")</f>
        <v/>
      </c>
    </row>
    <row r="1499">
      <c r="A1499" s="132"/>
      <c r="B1499" s="41"/>
      <c r="C1499" s="9"/>
      <c r="D1499" s="133"/>
      <c r="E1499" s="133"/>
      <c r="F1499" s="24"/>
      <c r="G1499" s="24"/>
      <c r="I1499" s="13" t="str">
        <f>IFERROR(__xludf.DUMMYFUNCTION("if(isblank(A1499),,split(A1499,""-""))"),"")</f>
        <v/>
      </c>
      <c r="K1499" s="13" t="str">
        <f>IFERROR(__xludf.DUMMYFUNCTION("if(isblank(B1499),,split(B1499,""-""))"),"")</f>
        <v/>
      </c>
    </row>
    <row r="1500">
      <c r="A1500" s="132"/>
      <c r="B1500" s="41"/>
      <c r="C1500" s="9"/>
      <c r="D1500" s="133"/>
      <c r="E1500" s="133"/>
      <c r="F1500" s="24"/>
      <c r="G1500" s="24"/>
      <c r="I1500" s="13" t="str">
        <f>IFERROR(__xludf.DUMMYFUNCTION("if(isblank(A1500),,split(A1500,""-""))"),"")</f>
        <v/>
      </c>
      <c r="K1500" s="13" t="str">
        <f>IFERROR(__xludf.DUMMYFUNCTION("if(isblank(B1500),,split(B1500,""-""))"),"")</f>
        <v/>
      </c>
    </row>
    <row r="1501">
      <c r="A1501" s="132"/>
      <c r="B1501" s="41"/>
      <c r="C1501" s="9"/>
      <c r="D1501" s="133"/>
      <c r="E1501" s="133"/>
      <c r="F1501" s="24"/>
      <c r="G1501" s="24"/>
      <c r="I1501" s="13" t="str">
        <f>IFERROR(__xludf.DUMMYFUNCTION("if(isblank(A1501),,split(A1501,""-""))"),"")</f>
        <v/>
      </c>
      <c r="K1501" s="13" t="str">
        <f>IFERROR(__xludf.DUMMYFUNCTION("if(isblank(B1501),,split(B1501,""-""))"),"")</f>
        <v/>
      </c>
    </row>
    <row r="1502">
      <c r="A1502" s="132"/>
      <c r="B1502" s="41"/>
      <c r="C1502" s="9"/>
      <c r="D1502" s="133"/>
      <c r="E1502" s="133"/>
      <c r="F1502" s="24"/>
      <c r="G1502" s="24"/>
      <c r="I1502" s="13" t="str">
        <f>IFERROR(__xludf.DUMMYFUNCTION("if(isblank(A1502),,split(A1502,""-""))"),"")</f>
        <v/>
      </c>
      <c r="K1502" s="13" t="str">
        <f>IFERROR(__xludf.DUMMYFUNCTION("if(isblank(B1502),,split(B1502,""-""))"),"")</f>
        <v/>
      </c>
    </row>
    <row r="1503">
      <c r="A1503" s="132"/>
      <c r="B1503" s="41"/>
      <c r="C1503" s="9"/>
      <c r="D1503" s="133"/>
      <c r="E1503" s="133"/>
      <c r="F1503" s="24"/>
      <c r="G1503" s="24"/>
      <c r="I1503" s="13" t="str">
        <f>IFERROR(__xludf.DUMMYFUNCTION("if(isblank(A1503),,split(A1503,""-""))"),"")</f>
        <v/>
      </c>
      <c r="K1503" s="13" t="str">
        <f>IFERROR(__xludf.DUMMYFUNCTION("if(isblank(B1503),,split(B1503,""-""))"),"")</f>
        <v/>
      </c>
    </row>
    <row r="1504">
      <c r="A1504" s="132"/>
      <c r="B1504" s="41"/>
      <c r="C1504" s="9"/>
      <c r="D1504" s="133"/>
      <c r="E1504" s="133"/>
      <c r="F1504" s="24"/>
      <c r="G1504" s="24"/>
      <c r="I1504" s="13" t="str">
        <f>IFERROR(__xludf.DUMMYFUNCTION("if(isblank(A1504),,split(A1504,""-""))"),"")</f>
        <v/>
      </c>
      <c r="K1504" s="13" t="str">
        <f>IFERROR(__xludf.DUMMYFUNCTION("if(isblank(B1504),,split(B1504,""-""))"),"")</f>
        <v/>
      </c>
    </row>
    <row r="1505">
      <c r="A1505" s="132"/>
      <c r="B1505" s="41"/>
      <c r="C1505" s="9"/>
      <c r="D1505" s="133"/>
      <c r="E1505" s="133"/>
      <c r="F1505" s="24"/>
      <c r="G1505" s="24"/>
      <c r="I1505" s="13" t="str">
        <f>IFERROR(__xludf.DUMMYFUNCTION("if(isblank(A1505),,split(A1505,""-""))"),"")</f>
        <v/>
      </c>
      <c r="K1505" s="13" t="str">
        <f>IFERROR(__xludf.DUMMYFUNCTION("if(isblank(B1505),,split(B1505,""-""))"),"")</f>
        <v/>
      </c>
    </row>
    <row r="1506">
      <c r="A1506" s="132"/>
      <c r="B1506" s="41"/>
      <c r="C1506" s="9"/>
      <c r="D1506" s="133"/>
      <c r="E1506" s="133"/>
      <c r="F1506" s="24"/>
      <c r="G1506" s="24"/>
      <c r="I1506" s="13" t="str">
        <f>IFERROR(__xludf.DUMMYFUNCTION("if(isblank(A1506),,split(A1506,""-""))"),"")</f>
        <v/>
      </c>
      <c r="K1506" s="13" t="str">
        <f>IFERROR(__xludf.DUMMYFUNCTION("if(isblank(B1506),,split(B1506,""-""))"),"")</f>
        <v/>
      </c>
    </row>
    <row r="1507">
      <c r="A1507" s="132"/>
      <c r="B1507" s="41"/>
      <c r="C1507" s="9"/>
      <c r="D1507" s="133"/>
      <c r="E1507" s="133"/>
      <c r="F1507" s="24"/>
      <c r="G1507" s="24"/>
      <c r="I1507" s="13" t="str">
        <f>IFERROR(__xludf.DUMMYFUNCTION("if(isblank(A1507),,split(A1507,""-""))"),"")</f>
        <v/>
      </c>
      <c r="K1507" s="13" t="str">
        <f>IFERROR(__xludf.DUMMYFUNCTION("if(isblank(B1507),,split(B1507,""-""))"),"")</f>
        <v/>
      </c>
    </row>
    <row r="1508">
      <c r="A1508" s="132"/>
      <c r="B1508" s="41"/>
      <c r="C1508" s="9"/>
      <c r="D1508" s="133"/>
      <c r="E1508" s="133"/>
      <c r="F1508" s="24"/>
      <c r="G1508" s="24"/>
      <c r="I1508" s="13" t="str">
        <f>IFERROR(__xludf.DUMMYFUNCTION("if(isblank(A1508),,split(A1508,""-""))"),"")</f>
        <v/>
      </c>
      <c r="K1508" s="13" t="str">
        <f>IFERROR(__xludf.DUMMYFUNCTION("if(isblank(B1508),,split(B1508,""-""))"),"")</f>
        <v/>
      </c>
    </row>
    <row r="1509">
      <c r="A1509" s="132"/>
      <c r="B1509" s="41"/>
      <c r="C1509" s="9"/>
      <c r="D1509" s="133"/>
      <c r="E1509" s="133"/>
      <c r="F1509" s="24"/>
      <c r="G1509" s="24"/>
      <c r="I1509" s="13" t="str">
        <f>IFERROR(__xludf.DUMMYFUNCTION("if(isblank(A1509),,split(A1509,""-""))"),"")</f>
        <v/>
      </c>
      <c r="K1509" s="13" t="str">
        <f>IFERROR(__xludf.DUMMYFUNCTION("if(isblank(B1509),,split(B1509,""-""))"),"")</f>
        <v/>
      </c>
    </row>
    <row r="1510">
      <c r="A1510" s="132"/>
      <c r="B1510" s="41"/>
      <c r="C1510" s="9"/>
      <c r="D1510" s="133"/>
      <c r="E1510" s="133"/>
      <c r="F1510" s="24"/>
      <c r="G1510" s="24"/>
      <c r="I1510" s="13" t="str">
        <f>IFERROR(__xludf.DUMMYFUNCTION("if(isblank(A1510),,split(A1510,""-""))"),"")</f>
        <v/>
      </c>
      <c r="K1510" s="13" t="str">
        <f>IFERROR(__xludf.DUMMYFUNCTION("if(isblank(B1510),,split(B1510,""-""))"),"")</f>
        <v/>
      </c>
    </row>
    <row r="1511">
      <c r="A1511" s="132"/>
      <c r="B1511" s="41"/>
      <c r="C1511" s="9"/>
      <c r="D1511" s="133"/>
      <c r="E1511" s="133"/>
      <c r="F1511" s="24"/>
      <c r="G1511" s="24"/>
      <c r="I1511" s="13" t="str">
        <f>IFERROR(__xludf.DUMMYFUNCTION("if(isblank(A1511),,split(A1511,""-""))"),"")</f>
        <v/>
      </c>
      <c r="K1511" s="13" t="str">
        <f>IFERROR(__xludf.DUMMYFUNCTION("if(isblank(B1511),,split(B1511,""-""))"),"")</f>
        <v/>
      </c>
    </row>
    <row r="1512">
      <c r="A1512" s="132"/>
      <c r="B1512" s="41"/>
      <c r="C1512" s="9"/>
      <c r="D1512" s="133"/>
      <c r="E1512" s="133"/>
      <c r="F1512" s="24"/>
      <c r="G1512" s="24"/>
      <c r="I1512" s="13" t="str">
        <f>IFERROR(__xludf.DUMMYFUNCTION("if(isblank(A1512),,split(A1512,""-""))"),"")</f>
        <v/>
      </c>
      <c r="K1512" s="13" t="str">
        <f>IFERROR(__xludf.DUMMYFUNCTION("if(isblank(B1512),,split(B1512,""-""))"),"")</f>
        <v/>
      </c>
    </row>
    <row r="1513">
      <c r="A1513" s="132"/>
      <c r="B1513" s="41"/>
      <c r="C1513" s="9"/>
      <c r="D1513" s="133"/>
      <c r="E1513" s="133"/>
      <c r="F1513" s="24"/>
      <c r="G1513" s="24"/>
      <c r="I1513" s="13" t="str">
        <f>IFERROR(__xludf.DUMMYFUNCTION("if(isblank(A1513),,split(A1513,""-""))"),"")</f>
        <v/>
      </c>
      <c r="K1513" s="13" t="str">
        <f>IFERROR(__xludf.DUMMYFUNCTION("if(isblank(B1513),,split(B1513,""-""))"),"")</f>
        <v/>
      </c>
    </row>
    <row r="1514">
      <c r="A1514" s="132"/>
      <c r="B1514" s="41"/>
      <c r="C1514" s="9"/>
      <c r="D1514" s="133"/>
      <c r="E1514" s="133"/>
      <c r="F1514" s="24"/>
      <c r="G1514" s="24"/>
      <c r="I1514" s="13" t="str">
        <f>IFERROR(__xludf.DUMMYFUNCTION("if(isblank(A1514),,split(A1514,""-""))"),"")</f>
        <v/>
      </c>
      <c r="K1514" s="13" t="str">
        <f>IFERROR(__xludf.DUMMYFUNCTION("if(isblank(B1514),,split(B1514,""-""))"),"")</f>
        <v/>
      </c>
    </row>
    <row r="1515">
      <c r="A1515" s="132"/>
      <c r="B1515" s="41"/>
      <c r="C1515" s="9"/>
      <c r="D1515" s="133"/>
      <c r="E1515" s="133"/>
      <c r="F1515" s="24"/>
      <c r="G1515" s="24"/>
      <c r="I1515" s="13" t="str">
        <f>IFERROR(__xludf.DUMMYFUNCTION("if(isblank(A1515),,split(A1515,""-""))"),"")</f>
        <v/>
      </c>
      <c r="K1515" s="13" t="str">
        <f>IFERROR(__xludf.DUMMYFUNCTION("if(isblank(B1515),,split(B1515,""-""))"),"")</f>
        <v/>
      </c>
    </row>
    <row r="1516">
      <c r="A1516" s="132"/>
      <c r="B1516" s="41"/>
      <c r="C1516" s="9"/>
      <c r="D1516" s="133"/>
      <c r="E1516" s="133"/>
      <c r="F1516" s="24"/>
      <c r="G1516" s="24"/>
      <c r="I1516" s="13" t="str">
        <f>IFERROR(__xludf.DUMMYFUNCTION("if(isblank(A1516),,split(A1516,""-""))"),"")</f>
        <v/>
      </c>
      <c r="K1516" s="13" t="str">
        <f>IFERROR(__xludf.DUMMYFUNCTION("if(isblank(B1516),,split(B1516,""-""))"),"")</f>
        <v/>
      </c>
    </row>
    <row r="1517">
      <c r="A1517" s="132"/>
      <c r="B1517" s="41"/>
      <c r="C1517" s="9"/>
      <c r="D1517" s="133"/>
      <c r="E1517" s="133"/>
      <c r="F1517" s="24"/>
      <c r="G1517" s="24"/>
      <c r="I1517" s="13" t="str">
        <f>IFERROR(__xludf.DUMMYFUNCTION("if(isblank(A1517),,split(A1517,""-""))"),"")</f>
        <v/>
      </c>
      <c r="K1517" s="13" t="str">
        <f>IFERROR(__xludf.DUMMYFUNCTION("if(isblank(B1517),,split(B1517,""-""))"),"")</f>
        <v/>
      </c>
    </row>
    <row r="1518">
      <c r="A1518" s="132"/>
      <c r="B1518" s="41"/>
      <c r="C1518" s="9"/>
      <c r="D1518" s="133"/>
      <c r="E1518" s="133"/>
      <c r="F1518" s="24"/>
      <c r="G1518" s="24"/>
      <c r="I1518" s="13" t="str">
        <f>IFERROR(__xludf.DUMMYFUNCTION("if(isblank(A1518),,split(A1518,""-""))"),"")</f>
        <v/>
      </c>
      <c r="K1518" s="13" t="str">
        <f>IFERROR(__xludf.DUMMYFUNCTION("if(isblank(B1518),,split(B1518,""-""))"),"")</f>
        <v/>
      </c>
    </row>
    <row r="1519">
      <c r="A1519" s="132"/>
      <c r="B1519" s="41"/>
      <c r="C1519" s="9"/>
      <c r="D1519" s="133"/>
      <c r="E1519" s="133"/>
      <c r="F1519" s="24"/>
      <c r="G1519" s="24"/>
      <c r="I1519" s="13" t="str">
        <f>IFERROR(__xludf.DUMMYFUNCTION("if(isblank(A1519),,split(A1519,""-""))"),"")</f>
        <v/>
      </c>
      <c r="K1519" s="13" t="str">
        <f>IFERROR(__xludf.DUMMYFUNCTION("if(isblank(B1519),,split(B1519,""-""))"),"")</f>
        <v/>
      </c>
    </row>
    <row r="1520">
      <c r="A1520" s="132"/>
      <c r="B1520" s="41"/>
      <c r="C1520" s="9"/>
      <c r="D1520" s="133"/>
      <c r="E1520" s="133"/>
      <c r="F1520" s="24"/>
      <c r="G1520" s="24"/>
      <c r="I1520" s="13" t="str">
        <f>IFERROR(__xludf.DUMMYFUNCTION("if(isblank(A1520),,split(A1520,""-""))"),"")</f>
        <v/>
      </c>
      <c r="K1520" s="13" t="str">
        <f>IFERROR(__xludf.DUMMYFUNCTION("if(isblank(B1520),,split(B1520,""-""))"),"")</f>
        <v/>
      </c>
    </row>
    <row r="1521">
      <c r="A1521" s="132"/>
      <c r="B1521" s="41"/>
      <c r="C1521" s="9"/>
      <c r="D1521" s="133"/>
      <c r="E1521" s="133"/>
      <c r="F1521" s="24"/>
      <c r="G1521" s="24"/>
      <c r="I1521" s="13" t="str">
        <f>IFERROR(__xludf.DUMMYFUNCTION("if(isblank(A1521),,split(A1521,""-""))"),"")</f>
        <v/>
      </c>
      <c r="K1521" s="13" t="str">
        <f>IFERROR(__xludf.DUMMYFUNCTION("if(isblank(B1521),,split(B1521,""-""))"),"")</f>
        <v/>
      </c>
    </row>
    <row r="1522">
      <c r="A1522" s="132"/>
      <c r="B1522" s="41"/>
      <c r="C1522" s="9"/>
      <c r="D1522" s="133"/>
      <c r="E1522" s="133"/>
      <c r="F1522" s="24"/>
      <c r="G1522" s="24"/>
      <c r="I1522" s="13" t="str">
        <f>IFERROR(__xludf.DUMMYFUNCTION("if(isblank(A1522),,split(A1522,""-""))"),"")</f>
        <v/>
      </c>
      <c r="K1522" s="13" t="str">
        <f>IFERROR(__xludf.DUMMYFUNCTION("if(isblank(B1522),,split(B1522,""-""))"),"")</f>
        <v/>
      </c>
    </row>
    <row r="1523">
      <c r="A1523" s="132"/>
      <c r="B1523" s="41"/>
      <c r="C1523" s="9"/>
      <c r="D1523" s="133"/>
      <c r="E1523" s="133"/>
      <c r="F1523" s="24"/>
      <c r="G1523" s="24"/>
      <c r="I1523" s="13" t="str">
        <f>IFERROR(__xludf.DUMMYFUNCTION("if(isblank(A1523),,split(A1523,""-""))"),"")</f>
        <v/>
      </c>
      <c r="K1523" s="13" t="str">
        <f>IFERROR(__xludf.DUMMYFUNCTION("if(isblank(B1523),,split(B1523,""-""))"),"")</f>
        <v/>
      </c>
    </row>
    <row r="1524">
      <c r="A1524" s="132"/>
      <c r="B1524" s="41"/>
      <c r="C1524" s="9"/>
      <c r="D1524" s="133"/>
      <c r="E1524" s="133"/>
      <c r="F1524" s="24"/>
      <c r="G1524" s="24"/>
      <c r="I1524" s="13" t="str">
        <f>IFERROR(__xludf.DUMMYFUNCTION("if(isblank(A1524),,split(A1524,""-""))"),"")</f>
        <v/>
      </c>
      <c r="K1524" s="13" t="str">
        <f>IFERROR(__xludf.DUMMYFUNCTION("if(isblank(B1524),,split(B1524,""-""))"),"")</f>
        <v/>
      </c>
    </row>
    <row r="1525">
      <c r="A1525" s="132"/>
      <c r="B1525" s="41"/>
      <c r="C1525" s="9"/>
      <c r="D1525" s="133"/>
      <c r="E1525" s="133"/>
      <c r="F1525" s="24"/>
      <c r="G1525" s="24"/>
      <c r="I1525" s="13" t="str">
        <f>IFERROR(__xludf.DUMMYFUNCTION("if(isblank(A1525),,split(A1525,""-""))"),"")</f>
        <v/>
      </c>
      <c r="K1525" s="13" t="str">
        <f>IFERROR(__xludf.DUMMYFUNCTION("if(isblank(B1525),,split(B1525,""-""))"),"")</f>
        <v/>
      </c>
    </row>
    <row r="1526">
      <c r="A1526" s="132"/>
      <c r="B1526" s="41"/>
      <c r="C1526" s="9"/>
      <c r="D1526" s="133"/>
      <c r="E1526" s="133"/>
      <c r="F1526" s="24"/>
      <c r="G1526" s="24"/>
      <c r="I1526" s="13" t="str">
        <f>IFERROR(__xludf.DUMMYFUNCTION("if(isblank(A1526),,split(A1526,""-""))"),"")</f>
        <v/>
      </c>
      <c r="K1526" s="13" t="str">
        <f>IFERROR(__xludf.DUMMYFUNCTION("if(isblank(B1526),,split(B1526,""-""))"),"")</f>
        <v/>
      </c>
    </row>
    <row r="1527">
      <c r="A1527" s="132"/>
      <c r="B1527" s="41"/>
      <c r="C1527" s="9"/>
      <c r="D1527" s="133"/>
      <c r="E1527" s="133"/>
      <c r="F1527" s="24"/>
      <c r="G1527" s="24"/>
      <c r="I1527" s="13" t="str">
        <f>IFERROR(__xludf.DUMMYFUNCTION("if(isblank(A1527),,split(A1527,""-""))"),"")</f>
        <v/>
      </c>
      <c r="K1527" s="13" t="str">
        <f>IFERROR(__xludf.DUMMYFUNCTION("if(isblank(B1527),,split(B1527,""-""))"),"")</f>
        <v/>
      </c>
    </row>
    <row r="1528">
      <c r="A1528" s="132"/>
      <c r="B1528" s="41"/>
      <c r="C1528" s="9"/>
      <c r="D1528" s="133"/>
      <c r="E1528" s="133"/>
      <c r="F1528" s="24"/>
      <c r="G1528" s="24"/>
      <c r="I1528" s="13" t="str">
        <f>IFERROR(__xludf.DUMMYFUNCTION("if(isblank(A1528),,split(A1528,""-""))"),"")</f>
        <v/>
      </c>
      <c r="K1528" s="13" t="str">
        <f>IFERROR(__xludf.DUMMYFUNCTION("if(isblank(B1528),,split(B1528,""-""))"),"")</f>
        <v/>
      </c>
    </row>
    <row r="1529">
      <c r="A1529" s="132"/>
      <c r="B1529" s="41"/>
      <c r="C1529" s="9"/>
      <c r="D1529" s="133"/>
      <c r="E1529" s="133"/>
      <c r="F1529" s="24"/>
      <c r="G1529" s="24"/>
      <c r="I1529" s="13" t="str">
        <f>IFERROR(__xludf.DUMMYFUNCTION("if(isblank(A1529),,split(A1529,""-""))"),"")</f>
        <v/>
      </c>
      <c r="K1529" s="13" t="str">
        <f>IFERROR(__xludf.DUMMYFUNCTION("if(isblank(B1529),,split(B1529,""-""))"),"")</f>
        <v/>
      </c>
    </row>
    <row r="1530">
      <c r="A1530" s="132"/>
      <c r="B1530" s="41"/>
      <c r="C1530" s="9"/>
      <c r="D1530" s="133"/>
      <c r="E1530" s="133"/>
      <c r="F1530" s="24"/>
      <c r="G1530" s="24"/>
      <c r="I1530" s="13" t="str">
        <f>IFERROR(__xludf.DUMMYFUNCTION("if(isblank(A1530),,split(A1530,""-""))"),"")</f>
        <v/>
      </c>
      <c r="K1530" s="13" t="str">
        <f>IFERROR(__xludf.DUMMYFUNCTION("if(isblank(B1530),,split(B1530,""-""))"),"")</f>
        <v/>
      </c>
    </row>
    <row r="1531">
      <c r="A1531" s="132"/>
      <c r="B1531" s="41"/>
      <c r="C1531" s="9"/>
      <c r="D1531" s="133"/>
      <c r="E1531" s="133"/>
      <c r="F1531" s="24"/>
      <c r="G1531" s="24"/>
      <c r="I1531" s="13" t="str">
        <f>IFERROR(__xludf.DUMMYFUNCTION("if(isblank(A1531),,split(A1531,""-""))"),"")</f>
        <v/>
      </c>
      <c r="K1531" s="13" t="str">
        <f>IFERROR(__xludf.DUMMYFUNCTION("if(isblank(B1531),,split(B1531,""-""))"),"")</f>
        <v/>
      </c>
    </row>
    <row r="1532">
      <c r="A1532" s="132"/>
      <c r="B1532" s="41"/>
      <c r="C1532" s="9"/>
      <c r="D1532" s="133"/>
      <c r="E1532" s="133"/>
      <c r="F1532" s="24"/>
      <c r="G1532" s="24"/>
      <c r="I1532" s="13" t="str">
        <f>IFERROR(__xludf.DUMMYFUNCTION("if(isblank(A1532),,split(A1532,""-""))"),"")</f>
        <v/>
      </c>
      <c r="K1532" s="13" t="str">
        <f>IFERROR(__xludf.DUMMYFUNCTION("if(isblank(B1532),,split(B1532,""-""))"),"")</f>
        <v/>
      </c>
    </row>
    <row r="1533">
      <c r="A1533" s="132"/>
      <c r="B1533" s="41"/>
      <c r="C1533" s="9"/>
      <c r="D1533" s="133"/>
      <c r="E1533" s="133"/>
      <c r="F1533" s="24"/>
      <c r="G1533" s="24"/>
      <c r="I1533" s="13" t="str">
        <f>IFERROR(__xludf.DUMMYFUNCTION("if(isblank(A1533),,split(A1533,""-""))"),"")</f>
        <v/>
      </c>
      <c r="K1533" s="13" t="str">
        <f>IFERROR(__xludf.DUMMYFUNCTION("if(isblank(B1533),,split(B1533,""-""))"),"")</f>
        <v/>
      </c>
    </row>
    <row r="1534">
      <c r="A1534" s="132"/>
      <c r="B1534" s="41"/>
      <c r="C1534" s="9"/>
      <c r="D1534" s="133"/>
      <c r="E1534" s="133"/>
      <c r="F1534" s="24"/>
      <c r="G1534" s="24"/>
      <c r="I1534" s="13" t="str">
        <f>IFERROR(__xludf.DUMMYFUNCTION("if(isblank(A1534),,split(A1534,""-""))"),"")</f>
        <v/>
      </c>
      <c r="K1534" s="13" t="str">
        <f>IFERROR(__xludf.DUMMYFUNCTION("if(isblank(B1534),,split(B1534,""-""))"),"")</f>
        <v/>
      </c>
    </row>
    <row r="1535">
      <c r="A1535" s="132"/>
      <c r="B1535" s="41"/>
      <c r="C1535" s="9"/>
      <c r="D1535" s="133"/>
      <c r="E1535" s="133"/>
      <c r="F1535" s="24"/>
      <c r="G1535" s="24"/>
      <c r="I1535" s="13" t="str">
        <f>IFERROR(__xludf.DUMMYFUNCTION("if(isblank(A1535),,split(A1535,""-""))"),"")</f>
        <v/>
      </c>
      <c r="K1535" s="13" t="str">
        <f>IFERROR(__xludf.DUMMYFUNCTION("if(isblank(B1535),,split(B1535,""-""))"),"")</f>
        <v/>
      </c>
    </row>
    <row r="1536">
      <c r="A1536" s="132"/>
      <c r="B1536" s="41"/>
      <c r="C1536" s="9"/>
      <c r="D1536" s="133"/>
      <c r="E1536" s="133"/>
      <c r="F1536" s="24"/>
      <c r="G1536" s="24"/>
      <c r="I1536" s="13" t="str">
        <f>IFERROR(__xludf.DUMMYFUNCTION("if(isblank(A1536),,split(A1536,""-""))"),"")</f>
        <v/>
      </c>
      <c r="K1536" s="13" t="str">
        <f>IFERROR(__xludf.DUMMYFUNCTION("if(isblank(B1536),,split(B1536,""-""))"),"")</f>
        <v/>
      </c>
    </row>
    <row r="1537">
      <c r="A1537" s="132"/>
      <c r="B1537" s="41"/>
      <c r="C1537" s="9"/>
      <c r="D1537" s="133"/>
      <c r="E1537" s="133"/>
      <c r="F1537" s="24"/>
      <c r="G1537" s="24"/>
      <c r="I1537" s="13" t="str">
        <f>IFERROR(__xludf.DUMMYFUNCTION("if(isblank(A1537),,split(A1537,""-""))"),"")</f>
        <v/>
      </c>
      <c r="K1537" s="13" t="str">
        <f>IFERROR(__xludf.DUMMYFUNCTION("if(isblank(B1537),,split(B1537,""-""))"),"")</f>
        <v/>
      </c>
    </row>
    <row r="1538">
      <c r="A1538" s="132"/>
      <c r="B1538" s="41"/>
      <c r="C1538" s="9"/>
      <c r="D1538" s="133"/>
      <c r="E1538" s="133"/>
      <c r="F1538" s="24"/>
      <c r="G1538" s="24"/>
      <c r="I1538" s="13" t="str">
        <f>IFERROR(__xludf.DUMMYFUNCTION("if(isblank(A1538),,split(A1538,""-""))"),"")</f>
        <v/>
      </c>
      <c r="K1538" s="13" t="str">
        <f>IFERROR(__xludf.DUMMYFUNCTION("if(isblank(B1538),,split(B1538,""-""))"),"")</f>
        <v/>
      </c>
    </row>
    <row r="1539">
      <c r="A1539" s="132"/>
      <c r="B1539" s="41"/>
      <c r="C1539" s="9"/>
      <c r="D1539" s="133"/>
      <c r="E1539" s="133"/>
      <c r="F1539" s="24"/>
      <c r="G1539" s="24"/>
      <c r="I1539" s="13" t="str">
        <f>IFERROR(__xludf.DUMMYFUNCTION("if(isblank(A1539),,split(A1539,""-""))"),"")</f>
        <v/>
      </c>
      <c r="K1539" s="13" t="str">
        <f>IFERROR(__xludf.DUMMYFUNCTION("if(isblank(B1539),,split(B1539,""-""))"),"")</f>
        <v/>
      </c>
    </row>
    <row r="1540">
      <c r="A1540" s="132"/>
      <c r="B1540" s="41"/>
      <c r="C1540" s="9"/>
      <c r="D1540" s="133"/>
      <c r="E1540" s="133"/>
      <c r="F1540" s="24"/>
      <c r="G1540" s="24"/>
      <c r="I1540" s="13" t="str">
        <f>IFERROR(__xludf.DUMMYFUNCTION("if(isblank(A1540),,split(A1540,""-""))"),"")</f>
        <v/>
      </c>
      <c r="K1540" s="13" t="str">
        <f>IFERROR(__xludf.DUMMYFUNCTION("if(isblank(B1540),,split(B1540,""-""))"),"")</f>
        <v/>
      </c>
    </row>
    <row r="1541">
      <c r="A1541" s="132"/>
      <c r="B1541" s="41"/>
      <c r="C1541" s="9"/>
      <c r="D1541" s="133"/>
      <c r="E1541" s="133"/>
      <c r="F1541" s="24"/>
      <c r="G1541" s="24"/>
      <c r="I1541" s="13" t="str">
        <f>IFERROR(__xludf.DUMMYFUNCTION("if(isblank(A1541),,split(A1541,""-""))"),"")</f>
        <v/>
      </c>
      <c r="K1541" s="13" t="str">
        <f>IFERROR(__xludf.DUMMYFUNCTION("if(isblank(B1541),,split(B1541,""-""))"),"")</f>
        <v/>
      </c>
    </row>
    <row r="1542">
      <c r="A1542" s="132"/>
      <c r="B1542" s="41"/>
      <c r="C1542" s="9"/>
      <c r="D1542" s="133"/>
      <c r="E1542" s="133"/>
      <c r="F1542" s="24"/>
      <c r="G1542" s="24"/>
      <c r="I1542" s="13" t="str">
        <f>IFERROR(__xludf.DUMMYFUNCTION("if(isblank(A1542),,split(A1542,""-""))"),"")</f>
        <v/>
      </c>
      <c r="K1542" s="13" t="str">
        <f>IFERROR(__xludf.DUMMYFUNCTION("if(isblank(B1542),,split(B1542,""-""))"),"")</f>
        <v/>
      </c>
    </row>
    <row r="1543">
      <c r="A1543" s="132"/>
      <c r="B1543" s="41"/>
      <c r="C1543" s="9"/>
      <c r="D1543" s="133"/>
      <c r="E1543" s="133"/>
      <c r="F1543" s="24"/>
      <c r="G1543" s="24"/>
      <c r="I1543" s="13" t="str">
        <f>IFERROR(__xludf.DUMMYFUNCTION("if(isblank(A1543),,split(A1543,""-""))"),"")</f>
        <v/>
      </c>
      <c r="K1543" s="13" t="str">
        <f>IFERROR(__xludf.DUMMYFUNCTION("if(isblank(B1543),,split(B1543,""-""))"),"")</f>
        <v/>
      </c>
    </row>
    <row r="1544">
      <c r="A1544" s="132"/>
      <c r="B1544" s="41"/>
      <c r="C1544" s="9"/>
      <c r="D1544" s="133"/>
      <c r="E1544" s="133"/>
      <c r="F1544" s="24"/>
      <c r="G1544" s="24"/>
      <c r="I1544" s="13" t="str">
        <f>IFERROR(__xludf.DUMMYFUNCTION("if(isblank(A1544),,split(A1544,""-""))"),"")</f>
        <v/>
      </c>
      <c r="K1544" s="13" t="str">
        <f>IFERROR(__xludf.DUMMYFUNCTION("if(isblank(B1544),,split(B1544,""-""))"),"")</f>
        <v/>
      </c>
    </row>
    <row r="1545">
      <c r="A1545" s="132"/>
      <c r="B1545" s="41"/>
      <c r="C1545" s="9"/>
      <c r="D1545" s="133"/>
      <c r="E1545" s="133"/>
      <c r="F1545" s="24"/>
      <c r="G1545" s="24"/>
      <c r="I1545" s="13" t="str">
        <f>IFERROR(__xludf.DUMMYFUNCTION("if(isblank(A1545),,split(A1545,""-""))"),"")</f>
        <v/>
      </c>
      <c r="K1545" s="13" t="str">
        <f>IFERROR(__xludf.DUMMYFUNCTION("if(isblank(B1545),,split(B1545,""-""))"),"")</f>
        <v/>
      </c>
    </row>
    <row r="1546">
      <c r="A1546" s="132"/>
      <c r="B1546" s="41"/>
      <c r="C1546" s="9"/>
      <c r="D1546" s="133"/>
      <c r="E1546" s="133"/>
      <c r="F1546" s="24"/>
      <c r="G1546" s="24"/>
      <c r="I1546" s="13" t="str">
        <f>IFERROR(__xludf.DUMMYFUNCTION("if(isblank(A1546),,split(A1546,""-""))"),"")</f>
        <v/>
      </c>
      <c r="K1546" s="13" t="str">
        <f>IFERROR(__xludf.DUMMYFUNCTION("if(isblank(B1546),,split(B1546,""-""))"),"")</f>
        <v/>
      </c>
    </row>
    <row r="1547">
      <c r="A1547" s="132"/>
      <c r="B1547" s="41"/>
      <c r="C1547" s="9"/>
      <c r="D1547" s="133"/>
      <c r="E1547" s="133"/>
      <c r="F1547" s="24"/>
      <c r="G1547" s="24"/>
      <c r="I1547" s="13" t="str">
        <f>IFERROR(__xludf.DUMMYFUNCTION("if(isblank(A1547),,split(A1547,""-""))"),"")</f>
        <v/>
      </c>
      <c r="K1547" s="13" t="str">
        <f>IFERROR(__xludf.DUMMYFUNCTION("if(isblank(B1547),,split(B1547,""-""))"),"")</f>
        <v/>
      </c>
    </row>
    <row r="1548">
      <c r="A1548" s="132"/>
      <c r="B1548" s="41"/>
      <c r="C1548" s="9"/>
      <c r="D1548" s="133"/>
      <c r="E1548" s="133"/>
      <c r="F1548" s="24"/>
      <c r="G1548" s="24"/>
      <c r="I1548" s="13" t="str">
        <f>IFERROR(__xludf.DUMMYFUNCTION("if(isblank(A1548),,split(A1548,""-""))"),"")</f>
        <v/>
      </c>
      <c r="K1548" s="13" t="str">
        <f>IFERROR(__xludf.DUMMYFUNCTION("if(isblank(B1548),,split(B1548,""-""))"),"")</f>
        <v/>
      </c>
    </row>
    <row r="1549">
      <c r="A1549" s="132"/>
      <c r="B1549" s="41"/>
      <c r="C1549" s="9"/>
      <c r="D1549" s="133"/>
      <c r="E1549" s="133"/>
      <c r="F1549" s="24"/>
      <c r="G1549" s="24"/>
      <c r="I1549" s="13" t="str">
        <f>IFERROR(__xludf.DUMMYFUNCTION("if(isblank(A1549),,split(A1549,""-""))"),"")</f>
        <v/>
      </c>
      <c r="K1549" s="13" t="str">
        <f>IFERROR(__xludf.DUMMYFUNCTION("if(isblank(B1549),,split(B1549,""-""))"),"")</f>
        <v/>
      </c>
    </row>
    <row r="1550">
      <c r="A1550" s="132"/>
      <c r="B1550" s="41"/>
      <c r="C1550" s="9"/>
      <c r="D1550" s="133"/>
      <c r="E1550" s="133"/>
      <c r="F1550" s="24"/>
      <c r="G1550" s="24"/>
      <c r="I1550" s="13" t="str">
        <f>IFERROR(__xludf.DUMMYFUNCTION("if(isblank(A1550),,split(A1550,""-""))"),"")</f>
        <v/>
      </c>
      <c r="K1550" s="13" t="str">
        <f>IFERROR(__xludf.DUMMYFUNCTION("if(isblank(B1550),,split(B1550,""-""))"),"")</f>
        <v/>
      </c>
    </row>
    <row r="1551">
      <c r="A1551" s="132"/>
      <c r="B1551" s="41"/>
      <c r="C1551" s="9"/>
      <c r="D1551" s="133"/>
      <c r="E1551" s="133"/>
      <c r="F1551" s="24"/>
      <c r="G1551" s="24"/>
      <c r="I1551" s="13" t="str">
        <f>IFERROR(__xludf.DUMMYFUNCTION("if(isblank(A1551),,split(A1551,""-""))"),"")</f>
        <v/>
      </c>
      <c r="K1551" s="13" t="str">
        <f>IFERROR(__xludf.DUMMYFUNCTION("if(isblank(B1551),,split(B1551,""-""))"),"")</f>
        <v/>
      </c>
    </row>
    <row r="1552">
      <c r="A1552" s="132"/>
      <c r="B1552" s="41"/>
      <c r="C1552" s="9"/>
      <c r="D1552" s="133"/>
      <c r="E1552" s="133"/>
      <c r="F1552" s="24"/>
      <c r="G1552" s="24"/>
      <c r="I1552" s="13" t="str">
        <f>IFERROR(__xludf.DUMMYFUNCTION("if(isblank(A1552),,split(A1552,""-""))"),"")</f>
        <v/>
      </c>
      <c r="K1552" s="13" t="str">
        <f>IFERROR(__xludf.DUMMYFUNCTION("if(isblank(B1552),,split(B1552,""-""))"),"")</f>
        <v/>
      </c>
    </row>
    <row r="1553">
      <c r="A1553" s="132"/>
      <c r="B1553" s="41"/>
      <c r="C1553" s="9"/>
      <c r="D1553" s="133"/>
      <c r="E1553" s="133"/>
      <c r="F1553" s="24"/>
      <c r="G1553" s="24"/>
      <c r="I1553" s="13" t="str">
        <f>IFERROR(__xludf.DUMMYFUNCTION("if(isblank(A1553),,split(A1553,""-""))"),"")</f>
        <v/>
      </c>
      <c r="K1553" s="13" t="str">
        <f>IFERROR(__xludf.DUMMYFUNCTION("if(isblank(B1553),,split(B1553,""-""))"),"")</f>
        <v/>
      </c>
    </row>
    <row r="1554">
      <c r="A1554" s="132"/>
      <c r="B1554" s="41"/>
      <c r="C1554" s="9"/>
      <c r="D1554" s="133"/>
      <c r="E1554" s="133"/>
      <c r="F1554" s="24"/>
      <c r="G1554" s="24"/>
      <c r="I1554" s="13" t="str">
        <f>IFERROR(__xludf.DUMMYFUNCTION("if(isblank(A1554),,split(A1554,""-""))"),"")</f>
        <v/>
      </c>
      <c r="K1554" s="13" t="str">
        <f>IFERROR(__xludf.DUMMYFUNCTION("if(isblank(B1554),,split(B1554,""-""))"),"")</f>
        <v/>
      </c>
    </row>
    <row r="1555">
      <c r="A1555" s="132"/>
      <c r="B1555" s="41"/>
      <c r="C1555" s="9"/>
      <c r="D1555" s="133"/>
      <c r="E1555" s="133"/>
      <c r="F1555" s="24"/>
      <c r="G1555" s="24"/>
      <c r="I1555" s="13" t="str">
        <f>IFERROR(__xludf.DUMMYFUNCTION("if(isblank(A1555),,split(A1555,""-""))"),"")</f>
        <v/>
      </c>
      <c r="K1555" s="13" t="str">
        <f>IFERROR(__xludf.DUMMYFUNCTION("if(isblank(B1555),,split(B1555,""-""))"),"")</f>
        <v/>
      </c>
    </row>
    <row r="1556">
      <c r="A1556" s="132"/>
      <c r="B1556" s="41"/>
      <c r="C1556" s="9"/>
      <c r="D1556" s="133"/>
      <c r="E1556" s="133"/>
      <c r="F1556" s="24"/>
      <c r="G1556" s="24"/>
      <c r="I1556" s="13" t="str">
        <f>IFERROR(__xludf.DUMMYFUNCTION("if(isblank(A1556),,split(A1556,""-""))"),"")</f>
        <v/>
      </c>
      <c r="K1556" s="13" t="str">
        <f>IFERROR(__xludf.DUMMYFUNCTION("if(isblank(B1556),,split(B1556,""-""))"),"")</f>
        <v/>
      </c>
    </row>
    <row r="1557">
      <c r="A1557" s="132"/>
      <c r="B1557" s="41"/>
      <c r="C1557" s="9"/>
      <c r="D1557" s="133"/>
      <c r="E1557" s="133"/>
      <c r="F1557" s="24"/>
      <c r="G1557" s="24"/>
      <c r="I1557" s="13" t="str">
        <f>IFERROR(__xludf.DUMMYFUNCTION("if(isblank(A1557),,split(A1557,""-""))"),"")</f>
        <v/>
      </c>
      <c r="K1557" s="13" t="str">
        <f>IFERROR(__xludf.DUMMYFUNCTION("if(isblank(B1557),,split(B1557,""-""))"),"")</f>
        <v/>
      </c>
    </row>
    <row r="1558">
      <c r="A1558" s="132"/>
      <c r="B1558" s="41"/>
      <c r="C1558" s="9"/>
      <c r="D1558" s="133"/>
      <c r="E1558" s="133"/>
      <c r="F1558" s="24"/>
      <c r="G1558" s="24"/>
      <c r="I1558" s="13" t="str">
        <f>IFERROR(__xludf.DUMMYFUNCTION("if(isblank(A1558),,split(A1558,""-""))"),"")</f>
        <v/>
      </c>
      <c r="K1558" s="13" t="str">
        <f>IFERROR(__xludf.DUMMYFUNCTION("if(isblank(B1558),,split(B1558,""-""))"),"")</f>
        <v/>
      </c>
    </row>
    <row r="1559">
      <c r="A1559" s="132"/>
      <c r="B1559" s="41"/>
      <c r="C1559" s="9"/>
      <c r="D1559" s="133"/>
      <c r="E1559" s="133"/>
      <c r="F1559" s="24"/>
      <c r="G1559" s="24"/>
      <c r="I1559" s="13" t="str">
        <f>IFERROR(__xludf.DUMMYFUNCTION("if(isblank(A1559),,split(A1559,""-""))"),"")</f>
        <v/>
      </c>
      <c r="K1559" s="13" t="str">
        <f>IFERROR(__xludf.DUMMYFUNCTION("if(isblank(B1559),,split(B1559,""-""))"),"")</f>
        <v/>
      </c>
    </row>
    <row r="1560">
      <c r="A1560" s="132"/>
      <c r="B1560" s="41"/>
      <c r="C1560" s="9"/>
      <c r="D1560" s="133"/>
      <c r="E1560" s="133"/>
      <c r="F1560" s="24"/>
      <c r="G1560" s="24"/>
      <c r="I1560" s="13" t="str">
        <f>IFERROR(__xludf.DUMMYFUNCTION("if(isblank(A1560),,split(A1560,""-""))"),"")</f>
        <v/>
      </c>
      <c r="K1560" s="13" t="str">
        <f>IFERROR(__xludf.DUMMYFUNCTION("if(isblank(B1560),,split(B1560,""-""))"),"")</f>
        <v/>
      </c>
    </row>
    <row r="1561">
      <c r="A1561" s="132"/>
      <c r="B1561" s="41"/>
      <c r="C1561" s="9"/>
      <c r="D1561" s="133"/>
      <c r="E1561" s="133"/>
      <c r="F1561" s="24"/>
      <c r="G1561" s="24"/>
      <c r="I1561" s="13" t="str">
        <f>IFERROR(__xludf.DUMMYFUNCTION("if(isblank(A1561),,split(A1561,""-""))"),"")</f>
        <v/>
      </c>
      <c r="K1561" s="13" t="str">
        <f>IFERROR(__xludf.DUMMYFUNCTION("if(isblank(B1561),,split(B1561,""-""))"),"")</f>
        <v/>
      </c>
    </row>
    <row r="1562">
      <c r="A1562" s="132"/>
      <c r="B1562" s="41"/>
      <c r="C1562" s="9"/>
      <c r="D1562" s="133"/>
      <c r="E1562" s="133"/>
      <c r="F1562" s="24"/>
      <c r="G1562" s="24"/>
      <c r="I1562" s="13" t="str">
        <f>IFERROR(__xludf.DUMMYFUNCTION("if(isblank(A1562),,split(A1562,""-""))"),"")</f>
        <v/>
      </c>
      <c r="K1562" s="13" t="str">
        <f>IFERROR(__xludf.DUMMYFUNCTION("if(isblank(B1562),,split(B1562,""-""))"),"")</f>
        <v/>
      </c>
    </row>
    <row r="1563">
      <c r="A1563" s="132"/>
      <c r="B1563" s="41"/>
      <c r="C1563" s="9"/>
      <c r="D1563" s="133"/>
      <c r="E1563" s="133"/>
      <c r="F1563" s="24"/>
      <c r="G1563" s="24"/>
      <c r="I1563" s="13" t="str">
        <f>IFERROR(__xludf.DUMMYFUNCTION("if(isblank(A1563),,split(A1563,""-""))"),"")</f>
        <v/>
      </c>
      <c r="K1563" s="13" t="str">
        <f>IFERROR(__xludf.DUMMYFUNCTION("if(isblank(B1563),,split(B1563,""-""))"),"")</f>
        <v/>
      </c>
    </row>
    <row r="1564">
      <c r="A1564" s="132"/>
      <c r="B1564" s="41"/>
      <c r="C1564" s="9"/>
      <c r="D1564" s="133"/>
      <c r="E1564" s="133"/>
      <c r="F1564" s="24"/>
      <c r="G1564" s="24"/>
      <c r="I1564" s="13" t="str">
        <f>IFERROR(__xludf.DUMMYFUNCTION("if(isblank(A1564),,split(A1564,""-""))"),"")</f>
        <v/>
      </c>
      <c r="K1564" s="13" t="str">
        <f>IFERROR(__xludf.DUMMYFUNCTION("if(isblank(B1564),,split(B1564,""-""))"),"")</f>
        <v/>
      </c>
    </row>
    <row r="1565">
      <c r="A1565" s="132"/>
      <c r="B1565" s="41"/>
      <c r="C1565" s="9"/>
      <c r="D1565" s="133"/>
      <c r="E1565" s="133"/>
      <c r="F1565" s="24"/>
      <c r="G1565" s="24"/>
      <c r="I1565" s="13" t="str">
        <f>IFERROR(__xludf.DUMMYFUNCTION("if(isblank(A1565),,split(A1565,""-""))"),"")</f>
        <v/>
      </c>
      <c r="K1565" s="13" t="str">
        <f>IFERROR(__xludf.DUMMYFUNCTION("if(isblank(B1565),,split(B1565,""-""))"),"")</f>
        <v/>
      </c>
    </row>
    <row r="1566">
      <c r="A1566" s="132"/>
      <c r="B1566" s="41"/>
      <c r="C1566" s="9"/>
      <c r="D1566" s="133"/>
      <c r="E1566" s="133"/>
      <c r="F1566" s="24"/>
      <c r="G1566" s="24"/>
      <c r="I1566" s="13" t="str">
        <f>IFERROR(__xludf.DUMMYFUNCTION("if(isblank(A1566),,split(A1566,""-""))"),"")</f>
        <v/>
      </c>
      <c r="K1566" s="13" t="str">
        <f>IFERROR(__xludf.DUMMYFUNCTION("if(isblank(B1566),,split(B1566,""-""))"),"")</f>
        <v/>
      </c>
    </row>
    <row r="1567">
      <c r="A1567" s="132"/>
      <c r="B1567" s="41"/>
      <c r="C1567" s="9"/>
      <c r="D1567" s="133"/>
      <c r="E1567" s="133"/>
      <c r="F1567" s="24"/>
      <c r="G1567" s="24"/>
      <c r="I1567" s="13" t="str">
        <f>IFERROR(__xludf.DUMMYFUNCTION("if(isblank(A1567),,split(A1567,""-""))"),"")</f>
        <v/>
      </c>
      <c r="K1567" s="13" t="str">
        <f>IFERROR(__xludf.DUMMYFUNCTION("if(isblank(B1567),,split(B1567,""-""))"),"")</f>
        <v/>
      </c>
    </row>
    <row r="1568">
      <c r="A1568" s="132"/>
      <c r="B1568" s="41"/>
      <c r="C1568" s="9"/>
      <c r="D1568" s="133"/>
      <c r="E1568" s="133"/>
      <c r="F1568" s="24"/>
      <c r="G1568" s="24"/>
      <c r="I1568" s="13" t="str">
        <f>IFERROR(__xludf.DUMMYFUNCTION("if(isblank(A1568),,split(A1568,""-""))"),"")</f>
        <v/>
      </c>
      <c r="K1568" s="13" t="str">
        <f>IFERROR(__xludf.DUMMYFUNCTION("if(isblank(B1568),,split(B1568,""-""))"),"")</f>
        <v/>
      </c>
    </row>
    <row r="1569">
      <c r="A1569" s="132"/>
      <c r="B1569" s="41"/>
      <c r="C1569" s="9"/>
      <c r="D1569" s="133"/>
      <c r="E1569" s="133"/>
      <c r="F1569" s="24"/>
      <c r="G1569" s="24"/>
      <c r="I1569" s="13" t="str">
        <f>IFERROR(__xludf.DUMMYFUNCTION("if(isblank(A1569),,split(A1569,""-""))"),"")</f>
        <v/>
      </c>
      <c r="K1569" s="13" t="str">
        <f>IFERROR(__xludf.DUMMYFUNCTION("if(isblank(B1569),,split(B1569,""-""))"),"")</f>
        <v/>
      </c>
    </row>
    <row r="1570">
      <c r="A1570" s="132"/>
      <c r="B1570" s="41"/>
      <c r="C1570" s="9"/>
      <c r="D1570" s="133"/>
      <c r="E1570" s="133"/>
      <c r="F1570" s="24"/>
      <c r="G1570" s="24"/>
      <c r="I1570" s="13" t="str">
        <f>IFERROR(__xludf.DUMMYFUNCTION("if(isblank(A1570),,split(A1570,""-""))"),"")</f>
        <v/>
      </c>
      <c r="K1570" s="13" t="str">
        <f>IFERROR(__xludf.DUMMYFUNCTION("if(isblank(B1570),,split(B1570,""-""))"),"")</f>
        <v/>
      </c>
    </row>
    <row r="1571">
      <c r="A1571" s="132"/>
      <c r="B1571" s="41"/>
      <c r="C1571" s="9"/>
      <c r="D1571" s="133"/>
      <c r="E1571" s="133"/>
      <c r="F1571" s="24"/>
      <c r="G1571" s="24"/>
      <c r="I1571" s="13" t="str">
        <f>IFERROR(__xludf.DUMMYFUNCTION("if(isblank(A1571),,split(A1571,""-""))"),"")</f>
        <v/>
      </c>
      <c r="K1571" s="13" t="str">
        <f>IFERROR(__xludf.DUMMYFUNCTION("if(isblank(B1571),,split(B1571,""-""))"),"")</f>
        <v/>
      </c>
    </row>
    <row r="1572">
      <c r="A1572" s="132"/>
      <c r="B1572" s="41"/>
      <c r="C1572" s="9"/>
      <c r="D1572" s="133"/>
      <c r="E1572" s="133"/>
      <c r="F1572" s="24"/>
      <c r="G1572" s="24"/>
      <c r="I1572" s="13" t="str">
        <f>IFERROR(__xludf.DUMMYFUNCTION("if(isblank(A1572),,split(A1572,""-""))"),"")</f>
        <v/>
      </c>
      <c r="K1572" s="13" t="str">
        <f>IFERROR(__xludf.DUMMYFUNCTION("if(isblank(B1572),,split(B1572,""-""))"),"")</f>
        <v/>
      </c>
    </row>
    <row r="1573">
      <c r="A1573" s="132"/>
      <c r="B1573" s="41"/>
      <c r="C1573" s="9"/>
      <c r="D1573" s="133"/>
      <c r="E1573" s="133"/>
      <c r="F1573" s="24"/>
      <c r="G1573" s="24"/>
      <c r="I1573" s="13" t="str">
        <f>IFERROR(__xludf.DUMMYFUNCTION("if(isblank(A1573),,split(A1573,""-""))"),"")</f>
        <v/>
      </c>
      <c r="K1573" s="13" t="str">
        <f>IFERROR(__xludf.DUMMYFUNCTION("if(isblank(B1573),,split(B1573,""-""))"),"")</f>
        <v/>
      </c>
    </row>
    <row r="1574">
      <c r="A1574" s="132"/>
      <c r="B1574" s="41"/>
      <c r="C1574" s="9"/>
      <c r="D1574" s="133"/>
      <c r="E1574" s="133"/>
      <c r="F1574" s="24"/>
      <c r="G1574" s="24"/>
      <c r="I1574" s="13" t="str">
        <f>IFERROR(__xludf.DUMMYFUNCTION("if(isblank(A1574),,split(A1574,""-""))"),"")</f>
        <v/>
      </c>
      <c r="K1574" s="13" t="str">
        <f>IFERROR(__xludf.DUMMYFUNCTION("if(isblank(B1574),,split(B1574,""-""))"),"")</f>
        <v/>
      </c>
    </row>
    <row r="1575">
      <c r="A1575" s="132"/>
      <c r="B1575" s="41"/>
      <c r="C1575" s="9"/>
      <c r="D1575" s="133"/>
      <c r="E1575" s="133"/>
      <c r="F1575" s="24"/>
      <c r="G1575" s="24"/>
      <c r="I1575" s="13" t="str">
        <f>IFERROR(__xludf.DUMMYFUNCTION("if(isblank(A1575),,split(A1575,""-""))"),"")</f>
        <v/>
      </c>
      <c r="K1575" s="13" t="str">
        <f>IFERROR(__xludf.DUMMYFUNCTION("if(isblank(B1575),,split(B1575,""-""))"),"")</f>
        <v/>
      </c>
    </row>
    <row r="1576">
      <c r="A1576" s="132"/>
      <c r="B1576" s="41"/>
      <c r="C1576" s="9"/>
      <c r="D1576" s="133"/>
      <c r="E1576" s="133"/>
      <c r="F1576" s="24"/>
      <c r="G1576" s="24"/>
      <c r="I1576" s="13" t="str">
        <f>IFERROR(__xludf.DUMMYFUNCTION("if(isblank(A1576),,split(A1576,""-""))"),"")</f>
        <v/>
      </c>
      <c r="K1576" s="13" t="str">
        <f>IFERROR(__xludf.DUMMYFUNCTION("if(isblank(B1576),,split(B1576,""-""))"),"")</f>
        <v/>
      </c>
    </row>
    <row r="1577">
      <c r="A1577" s="132"/>
      <c r="B1577" s="41"/>
      <c r="C1577" s="9"/>
      <c r="D1577" s="133"/>
      <c r="E1577" s="133"/>
      <c r="F1577" s="24"/>
      <c r="G1577" s="24"/>
      <c r="I1577" s="13" t="str">
        <f>IFERROR(__xludf.DUMMYFUNCTION("if(isblank(A1577),,split(A1577,""-""))"),"")</f>
        <v/>
      </c>
      <c r="K1577" s="13" t="str">
        <f>IFERROR(__xludf.DUMMYFUNCTION("if(isblank(B1577),,split(B1577,""-""))"),"")</f>
        <v/>
      </c>
    </row>
    <row r="1578">
      <c r="A1578" s="132"/>
      <c r="B1578" s="41"/>
      <c r="C1578" s="9"/>
      <c r="D1578" s="133"/>
      <c r="E1578" s="133"/>
      <c r="F1578" s="24"/>
      <c r="G1578" s="24"/>
      <c r="I1578" s="13" t="str">
        <f>IFERROR(__xludf.DUMMYFUNCTION("if(isblank(A1578),,split(A1578,""-""))"),"")</f>
        <v/>
      </c>
      <c r="K1578" s="13" t="str">
        <f>IFERROR(__xludf.DUMMYFUNCTION("if(isblank(B1578),,split(B1578,""-""))"),"")</f>
        <v/>
      </c>
    </row>
    <row r="1579">
      <c r="A1579" s="132"/>
      <c r="B1579" s="41"/>
      <c r="C1579" s="9"/>
      <c r="D1579" s="133"/>
      <c r="E1579" s="133"/>
      <c r="F1579" s="24"/>
      <c r="G1579" s="24"/>
      <c r="I1579" s="13" t="str">
        <f>IFERROR(__xludf.DUMMYFUNCTION("if(isblank(A1579),,split(A1579,""-""))"),"")</f>
        <v/>
      </c>
      <c r="K1579" s="13" t="str">
        <f>IFERROR(__xludf.DUMMYFUNCTION("if(isblank(B1579),,split(B1579,""-""))"),"")</f>
        <v/>
      </c>
    </row>
    <row r="1580">
      <c r="A1580" s="132"/>
      <c r="B1580" s="41"/>
      <c r="C1580" s="9"/>
      <c r="D1580" s="133"/>
      <c r="E1580" s="133"/>
      <c r="F1580" s="24"/>
      <c r="G1580" s="24"/>
      <c r="I1580" s="13" t="str">
        <f>IFERROR(__xludf.DUMMYFUNCTION("if(isblank(A1580),,split(A1580,""-""))"),"")</f>
        <v/>
      </c>
      <c r="K1580" s="13" t="str">
        <f>IFERROR(__xludf.DUMMYFUNCTION("if(isblank(B1580),,split(B1580,""-""))"),"")</f>
        <v/>
      </c>
    </row>
    <row r="1581">
      <c r="A1581" s="132"/>
      <c r="B1581" s="41"/>
      <c r="C1581" s="9"/>
      <c r="D1581" s="133"/>
      <c r="E1581" s="133"/>
      <c r="F1581" s="24"/>
      <c r="G1581" s="24"/>
      <c r="I1581" s="13" t="str">
        <f>IFERROR(__xludf.DUMMYFUNCTION("if(isblank(A1581),,split(A1581,""-""))"),"")</f>
        <v/>
      </c>
      <c r="K1581" s="13" t="str">
        <f>IFERROR(__xludf.DUMMYFUNCTION("if(isblank(B1581),,split(B1581,""-""))"),"")</f>
        <v/>
      </c>
    </row>
    <row r="1582">
      <c r="A1582" s="132"/>
      <c r="B1582" s="41"/>
      <c r="C1582" s="9"/>
      <c r="D1582" s="133"/>
      <c r="E1582" s="133"/>
      <c r="F1582" s="24"/>
      <c r="G1582" s="24"/>
      <c r="I1582" s="13" t="str">
        <f>IFERROR(__xludf.DUMMYFUNCTION("if(isblank(A1582),,split(A1582,""-""))"),"")</f>
        <v/>
      </c>
      <c r="K1582" s="13" t="str">
        <f>IFERROR(__xludf.DUMMYFUNCTION("if(isblank(B1582),,split(B1582,""-""))"),"")</f>
        <v/>
      </c>
    </row>
    <row r="1583">
      <c r="A1583" s="132"/>
      <c r="B1583" s="41"/>
      <c r="C1583" s="9"/>
      <c r="D1583" s="133"/>
      <c r="E1583" s="133"/>
      <c r="F1583" s="24"/>
      <c r="G1583" s="24"/>
      <c r="I1583" s="13" t="str">
        <f>IFERROR(__xludf.DUMMYFUNCTION("if(isblank(A1583),,split(A1583,""-""))"),"")</f>
        <v/>
      </c>
      <c r="K1583" s="13" t="str">
        <f>IFERROR(__xludf.DUMMYFUNCTION("if(isblank(B1583),,split(B1583,""-""))"),"")</f>
        <v/>
      </c>
    </row>
    <row r="1584">
      <c r="A1584" s="132"/>
      <c r="B1584" s="41"/>
      <c r="C1584" s="9"/>
      <c r="D1584" s="133"/>
      <c r="E1584" s="133"/>
      <c r="F1584" s="24"/>
      <c r="G1584" s="24"/>
      <c r="I1584" s="13" t="str">
        <f>IFERROR(__xludf.DUMMYFUNCTION("if(isblank(A1584),,split(A1584,""-""))"),"")</f>
        <v/>
      </c>
      <c r="K1584" s="13" t="str">
        <f>IFERROR(__xludf.DUMMYFUNCTION("if(isblank(B1584),,split(B1584,""-""))"),"")</f>
        <v/>
      </c>
    </row>
    <row r="1585">
      <c r="A1585" s="132"/>
      <c r="B1585" s="41"/>
      <c r="C1585" s="9"/>
      <c r="D1585" s="133"/>
      <c r="E1585" s="133"/>
      <c r="F1585" s="24"/>
      <c r="G1585" s="24"/>
      <c r="I1585" s="13" t="str">
        <f>IFERROR(__xludf.DUMMYFUNCTION("if(isblank(A1585),,split(A1585,""-""))"),"")</f>
        <v/>
      </c>
      <c r="K1585" s="13" t="str">
        <f>IFERROR(__xludf.DUMMYFUNCTION("if(isblank(B1585),,split(B1585,""-""))"),"")</f>
        <v/>
      </c>
    </row>
    <row r="1586">
      <c r="A1586" s="132"/>
      <c r="B1586" s="41"/>
      <c r="C1586" s="9"/>
      <c r="D1586" s="133"/>
      <c r="E1586" s="133"/>
      <c r="F1586" s="24"/>
      <c r="G1586" s="24"/>
      <c r="I1586" s="13" t="str">
        <f>IFERROR(__xludf.DUMMYFUNCTION("if(isblank(A1586),,split(A1586,""-""))"),"")</f>
        <v/>
      </c>
      <c r="K1586" s="13" t="str">
        <f>IFERROR(__xludf.DUMMYFUNCTION("if(isblank(B1586),,split(B1586,""-""))"),"")</f>
        <v/>
      </c>
    </row>
    <row r="1587">
      <c r="A1587" s="132"/>
      <c r="B1587" s="41"/>
      <c r="C1587" s="9"/>
      <c r="D1587" s="133"/>
      <c r="E1587" s="133"/>
      <c r="F1587" s="24"/>
      <c r="G1587" s="24"/>
      <c r="I1587" s="13" t="str">
        <f>IFERROR(__xludf.DUMMYFUNCTION("if(isblank(A1587),,split(A1587,""-""))"),"")</f>
        <v/>
      </c>
      <c r="K1587" s="13" t="str">
        <f>IFERROR(__xludf.DUMMYFUNCTION("if(isblank(B1587),,split(B1587,""-""))"),"")</f>
        <v/>
      </c>
    </row>
    <row r="1588">
      <c r="A1588" s="132"/>
      <c r="B1588" s="41"/>
      <c r="C1588" s="9"/>
      <c r="D1588" s="133"/>
      <c r="E1588" s="133"/>
      <c r="F1588" s="24"/>
      <c r="G1588" s="24"/>
      <c r="I1588" s="13" t="str">
        <f>IFERROR(__xludf.DUMMYFUNCTION("if(isblank(A1588),,split(A1588,""-""))"),"")</f>
        <v/>
      </c>
      <c r="K1588" s="13" t="str">
        <f>IFERROR(__xludf.DUMMYFUNCTION("if(isblank(B1588),,split(B1588,""-""))"),"")</f>
        <v/>
      </c>
    </row>
    <row r="1589">
      <c r="A1589" s="132"/>
      <c r="B1589" s="41"/>
      <c r="C1589" s="9"/>
      <c r="D1589" s="133"/>
      <c r="E1589" s="133"/>
      <c r="F1589" s="24"/>
      <c r="G1589" s="24"/>
      <c r="I1589" s="13" t="str">
        <f>IFERROR(__xludf.DUMMYFUNCTION("if(isblank(A1589),,split(A1589,""-""))"),"")</f>
        <v/>
      </c>
      <c r="K1589" s="13" t="str">
        <f>IFERROR(__xludf.DUMMYFUNCTION("if(isblank(B1589),,split(B1589,""-""))"),"")</f>
        <v/>
      </c>
    </row>
    <row r="1590">
      <c r="A1590" s="132"/>
      <c r="B1590" s="41"/>
      <c r="C1590" s="9"/>
      <c r="D1590" s="133"/>
      <c r="E1590" s="133"/>
      <c r="F1590" s="24"/>
      <c r="G1590" s="24"/>
      <c r="I1590" s="13" t="str">
        <f>IFERROR(__xludf.DUMMYFUNCTION("if(isblank(A1590),,split(A1590,""-""))"),"")</f>
        <v/>
      </c>
      <c r="K1590" s="13" t="str">
        <f>IFERROR(__xludf.DUMMYFUNCTION("if(isblank(B1590),,split(B1590,""-""))"),"")</f>
        <v/>
      </c>
    </row>
    <row r="1591">
      <c r="A1591" s="132"/>
      <c r="B1591" s="41"/>
      <c r="C1591" s="9"/>
      <c r="D1591" s="133"/>
      <c r="E1591" s="133"/>
      <c r="F1591" s="24"/>
      <c r="G1591" s="24"/>
      <c r="I1591" s="13" t="str">
        <f>IFERROR(__xludf.DUMMYFUNCTION("if(isblank(A1591),,split(A1591,""-""))"),"")</f>
        <v/>
      </c>
      <c r="K1591" s="13" t="str">
        <f>IFERROR(__xludf.DUMMYFUNCTION("if(isblank(B1591),,split(B1591,""-""))"),"")</f>
        <v/>
      </c>
    </row>
    <row r="1592">
      <c r="A1592" s="132"/>
      <c r="B1592" s="41"/>
      <c r="C1592" s="9"/>
      <c r="D1592" s="133"/>
      <c r="E1592" s="133"/>
      <c r="F1592" s="24"/>
      <c r="G1592" s="24"/>
      <c r="I1592" s="13" t="str">
        <f>IFERROR(__xludf.DUMMYFUNCTION("if(isblank(A1592),,split(A1592,""-""))"),"")</f>
        <v/>
      </c>
      <c r="K1592" s="13" t="str">
        <f>IFERROR(__xludf.DUMMYFUNCTION("if(isblank(B1592),,split(B1592,""-""))"),"")</f>
        <v/>
      </c>
    </row>
    <row r="1593">
      <c r="A1593" s="132"/>
      <c r="B1593" s="41"/>
      <c r="C1593" s="9"/>
      <c r="D1593" s="133"/>
      <c r="E1593" s="133"/>
      <c r="F1593" s="24"/>
      <c r="G1593" s="24"/>
      <c r="I1593" s="13" t="str">
        <f>IFERROR(__xludf.DUMMYFUNCTION("if(isblank(A1593),,split(A1593,""-""))"),"")</f>
        <v/>
      </c>
      <c r="K1593" s="13" t="str">
        <f>IFERROR(__xludf.DUMMYFUNCTION("if(isblank(B1593),,split(B1593,""-""))"),"")</f>
        <v/>
      </c>
    </row>
    <row r="1594">
      <c r="A1594" s="132"/>
      <c r="B1594" s="41"/>
      <c r="C1594" s="9"/>
      <c r="D1594" s="133"/>
      <c r="E1594" s="133"/>
      <c r="F1594" s="24"/>
      <c r="G1594" s="24"/>
      <c r="I1594" s="13" t="str">
        <f>IFERROR(__xludf.DUMMYFUNCTION("if(isblank(A1594),,split(A1594,""-""))"),"")</f>
        <v/>
      </c>
      <c r="K1594" s="13" t="str">
        <f>IFERROR(__xludf.DUMMYFUNCTION("if(isblank(B1594),,split(B1594,""-""))"),"")</f>
        <v/>
      </c>
    </row>
    <row r="1595">
      <c r="A1595" s="132"/>
      <c r="B1595" s="41"/>
      <c r="C1595" s="9"/>
      <c r="D1595" s="133"/>
      <c r="E1595" s="133"/>
      <c r="F1595" s="24"/>
      <c r="G1595" s="24"/>
      <c r="I1595" s="13" t="str">
        <f>IFERROR(__xludf.DUMMYFUNCTION("if(isblank(A1595),,split(A1595,""-""))"),"")</f>
        <v/>
      </c>
      <c r="K1595" s="13" t="str">
        <f>IFERROR(__xludf.DUMMYFUNCTION("if(isblank(B1595),,split(B1595,""-""))"),"")</f>
        <v/>
      </c>
    </row>
    <row r="1596">
      <c r="A1596" s="132"/>
      <c r="B1596" s="41"/>
      <c r="C1596" s="9"/>
      <c r="D1596" s="133"/>
      <c r="E1596" s="133"/>
      <c r="F1596" s="24"/>
      <c r="G1596" s="24"/>
      <c r="I1596" s="13" t="str">
        <f>IFERROR(__xludf.DUMMYFUNCTION("if(isblank(A1596),,split(A1596,""-""))"),"")</f>
        <v/>
      </c>
      <c r="K1596" s="13" t="str">
        <f>IFERROR(__xludf.DUMMYFUNCTION("if(isblank(B1596),,split(B1596,""-""))"),"")</f>
        <v/>
      </c>
    </row>
    <row r="1597">
      <c r="A1597" s="132"/>
      <c r="B1597" s="41"/>
      <c r="C1597" s="9"/>
      <c r="D1597" s="133"/>
      <c r="E1597" s="133"/>
      <c r="F1597" s="24"/>
      <c r="G1597" s="24"/>
      <c r="I1597" s="13" t="str">
        <f>IFERROR(__xludf.DUMMYFUNCTION("if(isblank(A1597),,split(A1597,""-""))"),"")</f>
        <v/>
      </c>
      <c r="K1597" s="13" t="str">
        <f>IFERROR(__xludf.DUMMYFUNCTION("if(isblank(B1597),,split(B1597,""-""))"),"")</f>
        <v/>
      </c>
    </row>
    <row r="1598">
      <c r="A1598" s="132"/>
      <c r="B1598" s="41"/>
      <c r="C1598" s="9"/>
      <c r="D1598" s="133"/>
      <c r="E1598" s="133"/>
      <c r="F1598" s="24"/>
      <c r="G1598" s="24"/>
      <c r="I1598" s="13" t="str">
        <f>IFERROR(__xludf.DUMMYFUNCTION("if(isblank(A1598),,split(A1598,""-""))"),"")</f>
        <v/>
      </c>
      <c r="K1598" s="13" t="str">
        <f>IFERROR(__xludf.DUMMYFUNCTION("if(isblank(B1598),,split(B1598,""-""))"),"")</f>
        <v/>
      </c>
    </row>
    <row r="1599">
      <c r="A1599" s="132"/>
      <c r="B1599" s="41"/>
      <c r="C1599" s="9"/>
      <c r="D1599" s="133"/>
      <c r="E1599" s="133"/>
      <c r="F1599" s="24"/>
      <c r="G1599" s="24"/>
      <c r="I1599" s="13" t="str">
        <f>IFERROR(__xludf.DUMMYFUNCTION("if(isblank(A1599),,split(A1599,""-""))"),"")</f>
        <v/>
      </c>
      <c r="K1599" s="13" t="str">
        <f>IFERROR(__xludf.DUMMYFUNCTION("if(isblank(B1599),,split(B1599,""-""))"),"")</f>
        <v/>
      </c>
    </row>
    <row r="1600">
      <c r="A1600" s="132"/>
      <c r="B1600" s="41"/>
      <c r="C1600" s="9"/>
      <c r="D1600" s="133"/>
      <c r="E1600" s="133"/>
      <c r="F1600" s="24"/>
      <c r="G1600" s="24"/>
      <c r="I1600" s="13" t="str">
        <f>IFERROR(__xludf.DUMMYFUNCTION("if(isblank(A1600),,split(A1600,""-""))"),"")</f>
        <v/>
      </c>
      <c r="K1600" s="13" t="str">
        <f>IFERROR(__xludf.DUMMYFUNCTION("if(isblank(B1600),,split(B1600,""-""))"),"")</f>
        <v/>
      </c>
    </row>
    <row r="1601">
      <c r="A1601" s="132"/>
      <c r="B1601" s="41"/>
      <c r="C1601" s="9"/>
      <c r="D1601" s="133"/>
      <c r="E1601" s="133"/>
      <c r="F1601" s="24"/>
      <c r="G1601" s="24"/>
      <c r="I1601" s="13" t="str">
        <f>IFERROR(__xludf.DUMMYFUNCTION("if(isblank(A1601),,split(A1601,""-""))"),"")</f>
        <v/>
      </c>
      <c r="K1601" s="13" t="str">
        <f>IFERROR(__xludf.DUMMYFUNCTION("if(isblank(B1601),,split(B1601,""-""))"),"")</f>
        <v/>
      </c>
    </row>
    <row r="1602">
      <c r="A1602" s="132"/>
      <c r="B1602" s="41"/>
      <c r="C1602" s="9"/>
      <c r="D1602" s="133"/>
      <c r="E1602" s="133"/>
      <c r="F1602" s="24"/>
      <c r="G1602" s="24"/>
      <c r="I1602" s="13" t="str">
        <f>IFERROR(__xludf.DUMMYFUNCTION("if(isblank(A1602),,split(A1602,""-""))"),"")</f>
        <v/>
      </c>
      <c r="K1602" s="13" t="str">
        <f>IFERROR(__xludf.DUMMYFUNCTION("if(isblank(B1602),,split(B1602,""-""))"),"")</f>
        <v/>
      </c>
    </row>
    <row r="1603">
      <c r="A1603" s="132"/>
      <c r="B1603" s="41"/>
      <c r="C1603" s="9"/>
      <c r="D1603" s="133"/>
      <c r="E1603" s="133"/>
      <c r="F1603" s="24"/>
      <c r="G1603" s="24"/>
      <c r="I1603" s="13" t="str">
        <f>IFERROR(__xludf.DUMMYFUNCTION("if(isblank(A1603),,split(A1603,""-""))"),"")</f>
        <v/>
      </c>
      <c r="K1603" s="13" t="str">
        <f>IFERROR(__xludf.DUMMYFUNCTION("if(isblank(B1603),,split(B1603,""-""))"),"")</f>
        <v/>
      </c>
    </row>
    <row r="1604">
      <c r="A1604" s="132"/>
      <c r="B1604" s="41"/>
      <c r="C1604" s="9"/>
      <c r="D1604" s="133"/>
      <c r="E1604" s="133"/>
      <c r="F1604" s="24"/>
      <c r="G1604" s="24"/>
      <c r="I1604" s="13" t="str">
        <f>IFERROR(__xludf.DUMMYFUNCTION("if(isblank(A1604),,split(A1604,""-""))"),"")</f>
        <v/>
      </c>
      <c r="K1604" s="13" t="str">
        <f>IFERROR(__xludf.DUMMYFUNCTION("if(isblank(B1604),,split(B1604,""-""))"),"")</f>
        <v/>
      </c>
    </row>
    <row r="1605">
      <c r="A1605" s="132"/>
      <c r="B1605" s="41"/>
      <c r="C1605" s="9"/>
      <c r="D1605" s="133"/>
      <c r="E1605" s="133"/>
      <c r="F1605" s="24"/>
      <c r="G1605" s="24"/>
      <c r="I1605" s="13" t="str">
        <f>IFERROR(__xludf.DUMMYFUNCTION("if(isblank(A1605),,split(A1605,""-""))"),"")</f>
        <v/>
      </c>
      <c r="K1605" s="13" t="str">
        <f>IFERROR(__xludf.DUMMYFUNCTION("if(isblank(B1605),,split(B1605,""-""))"),"")</f>
        <v/>
      </c>
    </row>
    <row r="1606">
      <c r="A1606" s="132"/>
      <c r="B1606" s="41"/>
      <c r="C1606" s="9"/>
      <c r="D1606" s="133"/>
      <c r="E1606" s="133"/>
      <c r="F1606" s="24"/>
      <c r="G1606" s="24"/>
      <c r="I1606" s="13" t="str">
        <f>IFERROR(__xludf.DUMMYFUNCTION("if(isblank(A1606),,split(A1606,""-""))"),"")</f>
        <v/>
      </c>
      <c r="K1606" s="13" t="str">
        <f>IFERROR(__xludf.DUMMYFUNCTION("if(isblank(B1606),,split(B1606,""-""))"),"")</f>
        <v/>
      </c>
    </row>
    <row r="1607">
      <c r="A1607" s="132"/>
      <c r="B1607" s="41"/>
      <c r="C1607" s="9"/>
      <c r="D1607" s="133"/>
      <c r="E1607" s="133"/>
      <c r="F1607" s="24"/>
      <c r="G1607" s="24"/>
      <c r="I1607" s="13" t="str">
        <f>IFERROR(__xludf.DUMMYFUNCTION("if(isblank(A1607),,split(A1607,""-""))"),"")</f>
        <v/>
      </c>
      <c r="K1607" s="13" t="str">
        <f>IFERROR(__xludf.DUMMYFUNCTION("if(isblank(B1607),,split(B1607,""-""))"),"")</f>
        <v/>
      </c>
    </row>
    <row r="1608">
      <c r="A1608" s="132"/>
      <c r="B1608" s="41"/>
      <c r="C1608" s="9"/>
      <c r="D1608" s="133"/>
      <c r="E1608" s="133"/>
      <c r="F1608" s="24"/>
      <c r="G1608" s="24"/>
      <c r="I1608" s="13" t="str">
        <f>IFERROR(__xludf.DUMMYFUNCTION("if(isblank(A1608),,split(A1608,""-""))"),"")</f>
        <v/>
      </c>
      <c r="K1608" s="13" t="str">
        <f>IFERROR(__xludf.DUMMYFUNCTION("if(isblank(B1608),,split(B1608,""-""))"),"")</f>
        <v/>
      </c>
    </row>
    <row r="1609">
      <c r="A1609" s="132"/>
      <c r="B1609" s="41"/>
      <c r="C1609" s="9"/>
      <c r="D1609" s="133"/>
      <c r="E1609" s="133"/>
      <c r="F1609" s="24"/>
      <c r="G1609" s="24"/>
      <c r="I1609" s="13" t="str">
        <f>IFERROR(__xludf.DUMMYFUNCTION("if(isblank(A1609),,split(A1609,""-""))"),"")</f>
        <v/>
      </c>
      <c r="K1609" s="13" t="str">
        <f>IFERROR(__xludf.DUMMYFUNCTION("if(isblank(B1609),,split(B1609,""-""))"),"")</f>
        <v/>
      </c>
    </row>
    <row r="1610">
      <c r="A1610" s="132"/>
      <c r="B1610" s="41"/>
      <c r="C1610" s="9"/>
      <c r="D1610" s="133"/>
      <c r="E1610" s="133"/>
      <c r="F1610" s="24"/>
      <c r="G1610" s="24"/>
      <c r="I1610" s="13" t="str">
        <f>IFERROR(__xludf.DUMMYFUNCTION("if(isblank(A1610),,split(A1610,""-""))"),"")</f>
        <v/>
      </c>
      <c r="K1610" s="13" t="str">
        <f>IFERROR(__xludf.DUMMYFUNCTION("if(isblank(B1610),,split(B1610,""-""))"),"")</f>
        <v/>
      </c>
    </row>
    <row r="1611">
      <c r="A1611" s="132"/>
      <c r="B1611" s="41"/>
      <c r="C1611" s="9"/>
      <c r="D1611" s="133"/>
      <c r="E1611" s="133"/>
      <c r="F1611" s="24"/>
      <c r="G1611" s="24"/>
      <c r="I1611" s="13" t="str">
        <f>IFERROR(__xludf.DUMMYFUNCTION("if(isblank(A1611),,split(A1611,""-""))"),"")</f>
        <v/>
      </c>
      <c r="K1611" s="13" t="str">
        <f>IFERROR(__xludf.DUMMYFUNCTION("if(isblank(B1611),,split(B1611,""-""))"),"")</f>
        <v/>
      </c>
    </row>
    <row r="1612">
      <c r="A1612" s="132"/>
      <c r="B1612" s="41"/>
      <c r="C1612" s="9"/>
      <c r="D1612" s="133"/>
      <c r="E1612" s="133"/>
      <c r="F1612" s="24"/>
      <c r="G1612" s="24"/>
      <c r="I1612" s="13" t="str">
        <f>IFERROR(__xludf.DUMMYFUNCTION("if(isblank(A1612),,split(A1612,""-""))"),"")</f>
        <v/>
      </c>
      <c r="K1612" s="13" t="str">
        <f>IFERROR(__xludf.DUMMYFUNCTION("if(isblank(B1612),,split(B1612,""-""))"),"")</f>
        <v/>
      </c>
    </row>
    <row r="1613">
      <c r="A1613" s="132"/>
      <c r="B1613" s="41"/>
      <c r="C1613" s="9"/>
      <c r="D1613" s="133"/>
      <c r="E1613" s="133"/>
      <c r="F1613" s="24"/>
      <c r="G1613" s="24"/>
      <c r="I1613" s="13" t="str">
        <f>IFERROR(__xludf.DUMMYFUNCTION("if(isblank(A1613),,split(A1613,""-""))"),"")</f>
        <v/>
      </c>
      <c r="K1613" s="13" t="str">
        <f>IFERROR(__xludf.DUMMYFUNCTION("if(isblank(B1613),,split(B1613,""-""))"),"")</f>
        <v/>
      </c>
    </row>
    <row r="1614">
      <c r="A1614" s="132"/>
      <c r="B1614" s="41"/>
      <c r="C1614" s="9"/>
      <c r="D1614" s="133"/>
      <c r="E1614" s="133"/>
      <c r="F1614" s="24"/>
      <c r="G1614" s="24"/>
      <c r="I1614" s="13" t="str">
        <f>IFERROR(__xludf.DUMMYFUNCTION("if(isblank(A1614),,split(A1614,""-""))"),"")</f>
        <v/>
      </c>
      <c r="K1614" s="13" t="str">
        <f>IFERROR(__xludf.DUMMYFUNCTION("if(isblank(B1614),,split(B1614,""-""))"),"")</f>
        <v/>
      </c>
    </row>
    <row r="1615">
      <c r="A1615" s="132"/>
      <c r="B1615" s="41"/>
      <c r="C1615" s="9"/>
      <c r="D1615" s="133"/>
      <c r="E1615" s="133"/>
      <c r="F1615" s="24"/>
      <c r="G1615" s="24"/>
      <c r="I1615" s="13" t="str">
        <f>IFERROR(__xludf.DUMMYFUNCTION("if(isblank(A1615),,split(A1615,""-""))"),"")</f>
        <v/>
      </c>
      <c r="K1615" s="13" t="str">
        <f>IFERROR(__xludf.DUMMYFUNCTION("if(isblank(B1615),,split(B1615,""-""))"),"")</f>
        <v/>
      </c>
    </row>
    <row r="1616">
      <c r="A1616" s="132"/>
      <c r="B1616" s="41"/>
      <c r="C1616" s="9"/>
      <c r="D1616" s="133"/>
      <c r="E1616" s="133"/>
      <c r="F1616" s="24"/>
      <c r="G1616" s="24"/>
      <c r="I1616" s="13" t="str">
        <f>IFERROR(__xludf.DUMMYFUNCTION("if(isblank(A1616),,split(A1616,""-""))"),"")</f>
        <v/>
      </c>
      <c r="K1616" s="13" t="str">
        <f>IFERROR(__xludf.DUMMYFUNCTION("if(isblank(B1616),,split(B1616,""-""))"),"")</f>
        <v/>
      </c>
    </row>
    <row r="1617">
      <c r="A1617" s="132"/>
      <c r="B1617" s="41"/>
      <c r="C1617" s="9"/>
      <c r="D1617" s="133"/>
      <c r="E1617" s="133"/>
      <c r="F1617" s="24"/>
      <c r="G1617" s="24"/>
      <c r="I1617" s="13" t="str">
        <f>IFERROR(__xludf.DUMMYFUNCTION("if(isblank(A1617),,split(A1617,""-""))"),"")</f>
        <v/>
      </c>
      <c r="K1617" s="13" t="str">
        <f>IFERROR(__xludf.DUMMYFUNCTION("if(isblank(B1617),,split(B1617,""-""))"),"")</f>
        <v/>
      </c>
    </row>
    <row r="1618">
      <c r="A1618" s="132"/>
      <c r="B1618" s="41"/>
      <c r="C1618" s="9"/>
      <c r="D1618" s="133"/>
      <c r="E1618" s="133"/>
      <c r="F1618" s="24"/>
      <c r="G1618" s="24"/>
      <c r="I1618" s="13" t="str">
        <f>IFERROR(__xludf.DUMMYFUNCTION("if(isblank(A1618),,split(A1618,""-""))"),"")</f>
        <v/>
      </c>
      <c r="K1618" s="13" t="str">
        <f>IFERROR(__xludf.DUMMYFUNCTION("if(isblank(B1618),,split(B1618,""-""))"),"")</f>
        <v/>
      </c>
    </row>
    <row r="1619">
      <c r="A1619" s="132"/>
      <c r="B1619" s="41"/>
      <c r="C1619" s="9"/>
      <c r="D1619" s="133"/>
      <c r="E1619" s="133"/>
      <c r="F1619" s="24"/>
      <c r="G1619" s="24"/>
      <c r="I1619" s="13" t="str">
        <f>IFERROR(__xludf.DUMMYFUNCTION("if(isblank(A1619),,split(A1619,""-""))"),"")</f>
        <v/>
      </c>
      <c r="K1619" s="13" t="str">
        <f>IFERROR(__xludf.DUMMYFUNCTION("if(isblank(B1619),,split(B1619,""-""))"),"")</f>
        <v/>
      </c>
    </row>
    <row r="1620">
      <c r="A1620" s="132"/>
      <c r="B1620" s="41"/>
      <c r="C1620" s="9"/>
      <c r="D1620" s="133"/>
      <c r="E1620" s="133"/>
      <c r="F1620" s="24"/>
      <c r="G1620" s="24"/>
      <c r="I1620" s="13" t="str">
        <f>IFERROR(__xludf.DUMMYFUNCTION("if(isblank(A1620),,split(A1620,""-""))"),"")</f>
        <v/>
      </c>
      <c r="K1620" s="13" t="str">
        <f>IFERROR(__xludf.DUMMYFUNCTION("if(isblank(B1620),,split(B1620,""-""))"),"")</f>
        <v/>
      </c>
    </row>
    <row r="1621">
      <c r="A1621" s="132"/>
      <c r="B1621" s="41"/>
      <c r="C1621" s="9"/>
      <c r="D1621" s="133"/>
      <c r="E1621" s="133"/>
      <c r="F1621" s="24"/>
      <c r="G1621" s="24"/>
      <c r="I1621" s="13" t="str">
        <f>IFERROR(__xludf.DUMMYFUNCTION("if(isblank(A1621),,split(A1621,""-""))"),"")</f>
        <v/>
      </c>
      <c r="K1621" s="13" t="str">
        <f>IFERROR(__xludf.DUMMYFUNCTION("if(isblank(B1621),,split(B1621,""-""))"),"")</f>
        <v/>
      </c>
    </row>
    <row r="1622">
      <c r="A1622" s="132"/>
      <c r="B1622" s="41"/>
      <c r="C1622" s="9"/>
      <c r="D1622" s="133"/>
      <c r="E1622" s="133"/>
      <c r="F1622" s="24"/>
      <c r="G1622" s="24"/>
      <c r="I1622" s="13" t="str">
        <f>IFERROR(__xludf.DUMMYFUNCTION("if(isblank(A1622),,split(A1622,""-""))"),"")</f>
        <v/>
      </c>
      <c r="K1622" s="13" t="str">
        <f>IFERROR(__xludf.DUMMYFUNCTION("if(isblank(B1622),,split(B1622,""-""))"),"")</f>
        <v/>
      </c>
    </row>
    <row r="1623">
      <c r="A1623" s="132"/>
      <c r="B1623" s="41"/>
      <c r="C1623" s="9"/>
      <c r="D1623" s="133"/>
      <c r="E1623" s="133"/>
      <c r="F1623" s="24"/>
      <c r="G1623" s="24"/>
      <c r="I1623" s="13" t="str">
        <f>IFERROR(__xludf.DUMMYFUNCTION("if(isblank(A1623),,split(A1623,""-""))"),"")</f>
        <v/>
      </c>
      <c r="K1623" s="13" t="str">
        <f>IFERROR(__xludf.DUMMYFUNCTION("if(isblank(B1623),,split(B1623,""-""))"),"")</f>
        <v/>
      </c>
    </row>
    <row r="1624">
      <c r="A1624" s="132"/>
      <c r="B1624" s="41"/>
      <c r="C1624" s="9"/>
      <c r="D1624" s="133"/>
      <c r="E1624" s="133"/>
      <c r="F1624" s="24"/>
      <c r="G1624" s="24"/>
      <c r="I1624" s="13" t="str">
        <f>IFERROR(__xludf.DUMMYFUNCTION("if(isblank(A1624),,split(A1624,""-""))"),"")</f>
        <v/>
      </c>
      <c r="K1624" s="13" t="str">
        <f>IFERROR(__xludf.DUMMYFUNCTION("if(isblank(B1624),,split(B1624,""-""))"),"")</f>
        <v/>
      </c>
    </row>
    <row r="1625">
      <c r="A1625" s="132"/>
      <c r="B1625" s="41"/>
      <c r="C1625" s="9"/>
      <c r="D1625" s="133"/>
      <c r="E1625" s="133"/>
      <c r="F1625" s="24"/>
      <c r="G1625" s="24"/>
      <c r="I1625" s="13" t="str">
        <f>IFERROR(__xludf.DUMMYFUNCTION("if(isblank(A1625),,split(A1625,""-""))"),"")</f>
        <v/>
      </c>
      <c r="K1625" s="13" t="str">
        <f>IFERROR(__xludf.DUMMYFUNCTION("if(isblank(B1625),,split(B1625,""-""))"),"")</f>
        <v/>
      </c>
    </row>
    <row r="1626">
      <c r="A1626" s="132"/>
      <c r="B1626" s="41"/>
      <c r="C1626" s="9"/>
      <c r="D1626" s="133"/>
      <c r="E1626" s="133"/>
      <c r="F1626" s="24"/>
      <c r="G1626" s="24"/>
      <c r="I1626" s="13" t="str">
        <f>IFERROR(__xludf.DUMMYFUNCTION("if(isblank(A1626),,split(A1626,""-""))"),"")</f>
        <v/>
      </c>
      <c r="K1626" s="13" t="str">
        <f>IFERROR(__xludf.DUMMYFUNCTION("if(isblank(B1626),,split(B1626,""-""))"),"")</f>
        <v/>
      </c>
    </row>
    <row r="1627">
      <c r="A1627" s="132"/>
      <c r="B1627" s="41"/>
      <c r="C1627" s="9"/>
      <c r="D1627" s="133"/>
      <c r="E1627" s="133"/>
      <c r="F1627" s="24"/>
      <c r="G1627" s="24"/>
      <c r="I1627" s="13" t="str">
        <f>IFERROR(__xludf.DUMMYFUNCTION("if(isblank(A1627),,split(A1627,""-""))"),"")</f>
        <v/>
      </c>
      <c r="K1627" s="13" t="str">
        <f>IFERROR(__xludf.DUMMYFUNCTION("if(isblank(B1627),,split(B1627,""-""))"),"")</f>
        <v/>
      </c>
    </row>
    <row r="1628">
      <c r="A1628" s="132"/>
      <c r="B1628" s="41"/>
      <c r="C1628" s="9"/>
      <c r="D1628" s="133"/>
      <c r="E1628" s="133"/>
      <c r="F1628" s="24"/>
      <c r="G1628" s="24"/>
      <c r="I1628" s="13" t="str">
        <f>IFERROR(__xludf.DUMMYFUNCTION("if(isblank(A1628),,split(A1628,""-""))"),"")</f>
        <v/>
      </c>
      <c r="K1628" s="13" t="str">
        <f>IFERROR(__xludf.DUMMYFUNCTION("if(isblank(B1628),,split(B1628,""-""))"),"")</f>
        <v/>
      </c>
    </row>
    <row r="1629">
      <c r="A1629" s="132"/>
      <c r="B1629" s="41"/>
      <c r="C1629" s="9"/>
      <c r="D1629" s="133"/>
      <c r="E1629" s="133"/>
      <c r="F1629" s="24"/>
      <c r="G1629" s="24"/>
      <c r="I1629" s="13" t="str">
        <f>IFERROR(__xludf.DUMMYFUNCTION("if(isblank(A1629),,split(A1629,""-""))"),"")</f>
        <v/>
      </c>
      <c r="K1629" s="13" t="str">
        <f>IFERROR(__xludf.DUMMYFUNCTION("if(isblank(B1629),,split(B1629,""-""))"),"")</f>
        <v/>
      </c>
    </row>
    <row r="1630">
      <c r="A1630" s="132"/>
      <c r="B1630" s="41"/>
      <c r="C1630" s="9"/>
      <c r="D1630" s="133"/>
      <c r="E1630" s="133"/>
      <c r="F1630" s="24"/>
      <c r="G1630" s="24"/>
      <c r="I1630" s="13" t="str">
        <f>IFERROR(__xludf.DUMMYFUNCTION("if(isblank(A1630),,split(A1630,""-""))"),"")</f>
        <v/>
      </c>
      <c r="K1630" s="13" t="str">
        <f>IFERROR(__xludf.DUMMYFUNCTION("if(isblank(B1630),,split(B1630,""-""))"),"")</f>
        <v/>
      </c>
    </row>
    <row r="1631">
      <c r="A1631" s="132"/>
      <c r="B1631" s="41"/>
      <c r="C1631" s="9"/>
      <c r="D1631" s="133"/>
      <c r="E1631" s="133"/>
      <c r="F1631" s="24"/>
      <c r="G1631" s="24"/>
      <c r="I1631" s="13" t="str">
        <f>IFERROR(__xludf.DUMMYFUNCTION("if(isblank(A1631),,split(A1631,""-""))"),"")</f>
        <v/>
      </c>
      <c r="K1631" s="13" t="str">
        <f>IFERROR(__xludf.DUMMYFUNCTION("if(isblank(B1631),,split(B1631,""-""))"),"")</f>
        <v/>
      </c>
    </row>
    <row r="1632">
      <c r="A1632" s="132"/>
      <c r="B1632" s="41"/>
      <c r="C1632" s="9"/>
      <c r="D1632" s="133"/>
      <c r="E1632" s="133"/>
      <c r="F1632" s="24"/>
      <c r="G1632" s="24"/>
      <c r="I1632" s="13" t="str">
        <f>IFERROR(__xludf.DUMMYFUNCTION("if(isblank(A1632),,split(A1632,""-""))"),"")</f>
        <v/>
      </c>
      <c r="K1632" s="13" t="str">
        <f>IFERROR(__xludf.DUMMYFUNCTION("if(isblank(B1632),,split(B1632,""-""))"),"")</f>
        <v/>
      </c>
    </row>
    <row r="1633">
      <c r="A1633" s="132"/>
      <c r="B1633" s="41"/>
      <c r="C1633" s="9"/>
      <c r="D1633" s="133"/>
      <c r="E1633" s="133"/>
      <c r="F1633" s="24"/>
      <c r="G1633" s="24"/>
      <c r="I1633" s="13" t="str">
        <f>IFERROR(__xludf.DUMMYFUNCTION("if(isblank(A1633),,split(A1633,""-""))"),"")</f>
        <v/>
      </c>
      <c r="K1633" s="13" t="str">
        <f>IFERROR(__xludf.DUMMYFUNCTION("if(isblank(B1633),,split(B1633,""-""))"),"")</f>
        <v/>
      </c>
    </row>
    <row r="1634">
      <c r="A1634" s="132"/>
      <c r="B1634" s="41"/>
      <c r="C1634" s="9"/>
      <c r="D1634" s="133"/>
      <c r="E1634" s="133"/>
      <c r="F1634" s="24"/>
      <c r="G1634" s="24"/>
      <c r="I1634" s="13" t="str">
        <f>IFERROR(__xludf.DUMMYFUNCTION("if(isblank(A1634),,split(A1634,""-""))"),"")</f>
        <v/>
      </c>
      <c r="K1634" s="13" t="str">
        <f>IFERROR(__xludf.DUMMYFUNCTION("if(isblank(B1634),,split(B1634,""-""))"),"")</f>
        <v/>
      </c>
    </row>
    <row r="1635">
      <c r="A1635" s="132"/>
      <c r="B1635" s="41"/>
      <c r="C1635" s="9"/>
      <c r="D1635" s="133"/>
      <c r="E1635" s="133"/>
      <c r="F1635" s="24"/>
      <c r="G1635" s="24"/>
      <c r="I1635" s="13" t="str">
        <f>IFERROR(__xludf.DUMMYFUNCTION("if(isblank(A1635),,split(A1635,""-""))"),"")</f>
        <v/>
      </c>
      <c r="K1635" s="13" t="str">
        <f>IFERROR(__xludf.DUMMYFUNCTION("if(isblank(B1635),,split(B1635,""-""))"),"")</f>
        <v/>
      </c>
    </row>
    <row r="1636">
      <c r="A1636" s="132"/>
      <c r="B1636" s="41"/>
      <c r="C1636" s="9"/>
      <c r="D1636" s="133"/>
      <c r="E1636" s="133"/>
      <c r="F1636" s="24"/>
      <c r="G1636" s="24"/>
      <c r="I1636" s="13" t="str">
        <f>IFERROR(__xludf.DUMMYFUNCTION("if(isblank(A1636),,split(A1636,""-""))"),"")</f>
        <v/>
      </c>
      <c r="K1636" s="13" t="str">
        <f>IFERROR(__xludf.DUMMYFUNCTION("if(isblank(B1636),,split(B1636,""-""))"),"")</f>
        <v/>
      </c>
    </row>
    <row r="1637">
      <c r="A1637" s="132"/>
      <c r="B1637" s="41"/>
      <c r="C1637" s="9"/>
      <c r="D1637" s="133"/>
      <c r="E1637" s="133"/>
      <c r="F1637" s="24"/>
      <c r="G1637" s="24"/>
      <c r="I1637" s="13" t="str">
        <f>IFERROR(__xludf.DUMMYFUNCTION("if(isblank(A1637),,split(A1637,""-""))"),"")</f>
        <v/>
      </c>
      <c r="K1637" s="13" t="str">
        <f>IFERROR(__xludf.DUMMYFUNCTION("if(isblank(B1637),,split(B1637,""-""))"),"")</f>
        <v/>
      </c>
    </row>
    <row r="1638">
      <c r="A1638" s="132"/>
      <c r="B1638" s="41"/>
      <c r="C1638" s="9"/>
      <c r="D1638" s="133"/>
      <c r="E1638" s="133"/>
      <c r="F1638" s="24"/>
      <c r="G1638" s="24"/>
      <c r="I1638" s="13" t="str">
        <f>IFERROR(__xludf.DUMMYFUNCTION("if(isblank(A1638),,split(A1638,""-""))"),"")</f>
        <v/>
      </c>
      <c r="K1638" s="13" t="str">
        <f>IFERROR(__xludf.DUMMYFUNCTION("if(isblank(B1638),,split(B1638,""-""))"),"")</f>
        <v/>
      </c>
    </row>
    <row r="1639">
      <c r="A1639" s="132"/>
      <c r="B1639" s="41"/>
      <c r="C1639" s="9"/>
      <c r="D1639" s="133"/>
      <c r="E1639" s="133"/>
      <c r="F1639" s="24"/>
      <c r="G1639" s="24"/>
      <c r="I1639" s="13" t="str">
        <f>IFERROR(__xludf.DUMMYFUNCTION("if(isblank(A1639),,split(A1639,""-""))"),"")</f>
        <v/>
      </c>
      <c r="K1639" s="13" t="str">
        <f>IFERROR(__xludf.DUMMYFUNCTION("if(isblank(B1639),,split(B1639,""-""))"),"")</f>
        <v/>
      </c>
    </row>
    <row r="1640">
      <c r="A1640" s="132"/>
      <c r="B1640" s="41"/>
      <c r="C1640" s="9"/>
      <c r="D1640" s="133"/>
      <c r="E1640" s="133"/>
      <c r="F1640" s="24"/>
      <c r="G1640" s="24"/>
      <c r="I1640" s="13" t="str">
        <f>IFERROR(__xludf.DUMMYFUNCTION("if(isblank(A1640),,split(A1640,""-""))"),"")</f>
        <v/>
      </c>
      <c r="K1640" s="13" t="str">
        <f>IFERROR(__xludf.DUMMYFUNCTION("if(isblank(B1640),,split(B1640,""-""))"),"")</f>
        <v/>
      </c>
    </row>
    <row r="1641">
      <c r="A1641" s="132"/>
      <c r="B1641" s="41"/>
      <c r="C1641" s="9"/>
      <c r="D1641" s="133"/>
      <c r="E1641" s="133"/>
      <c r="F1641" s="24"/>
      <c r="G1641" s="24"/>
      <c r="I1641" s="13" t="str">
        <f>IFERROR(__xludf.DUMMYFUNCTION("if(isblank(A1641),,split(A1641,""-""))"),"")</f>
        <v/>
      </c>
      <c r="K1641" s="13" t="str">
        <f>IFERROR(__xludf.DUMMYFUNCTION("if(isblank(B1641),,split(B1641,""-""))"),"")</f>
        <v/>
      </c>
    </row>
    <row r="1642">
      <c r="A1642" s="132"/>
      <c r="B1642" s="41"/>
      <c r="C1642" s="9"/>
      <c r="D1642" s="133"/>
      <c r="E1642" s="133"/>
      <c r="F1642" s="24"/>
      <c r="G1642" s="24"/>
      <c r="I1642" s="13" t="str">
        <f>IFERROR(__xludf.DUMMYFUNCTION("if(isblank(A1642),,split(A1642,""-""))"),"")</f>
        <v/>
      </c>
      <c r="K1642" s="13" t="str">
        <f>IFERROR(__xludf.DUMMYFUNCTION("if(isblank(B1642),,split(B1642,""-""))"),"")</f>
        <v/>
      </c>
    </row>
    <row r="1643">
      <c r="A1643" s="132"/>
      <c r="B1643" s="41"/>
      <c r="C1643" s="9"/>
      <c r="D1643" s="133"/>
      <c r="E1643" s="133"/>
      <c r="F1643" s="24"/>
      <c r="G1643" s="24"/>
      <c r="I1643" s="13" t="str">
        <f>IFERROR(__xludf.DUMMYFUNCTION("if(isblank(A1643),,split(A1643,""-""))"),"")</f>
        <v/>
      </c>
      <c r="K1643" s="13" t="str">
        <f>IFERROR(__xludf.DUMMYFUNCTION("if(isblank(B1643),,split(B1643,""-""))"),"")</f>
        <v/>
      </c>
    </row>
    <row r="1644">
      <c r="A1644" s="132"/>
      <c r="B1644" s="41"/>
      <c r="C1644" s="9"/>
      <c r="D1644" s="133"/>
      <c r="E1644" s="133"/>
      <c r="F1644" s="24"/>
      <c r="G1644" s="24"/>
      <c r="I1644" s="13" t="str">
        <f>IFERROR(__xludf.DUMMYFUNCTION("if(isblank(A1644),,split(A1644,""-""))"),"")</f>
        <v/>
      </c>
      <c r="K1644" s="13" t="str">
        <f>IFERROR(__xludf.DUMMYFUNCTION("if(isblank(B1644),,split(B1644,""-""))"),"")</f>
        <v/>
      </c>
    </row>
    <row r="1645">
      <c r="A1645" s="132"/>
      <c r="B1645" s="41"/>
      <c r="C1645" s="9"/>
      <c r="D1645" s="133"/>
      <c r="E1645" s="133"/>
      <c r="F1645" s="24"/>
      <c r="G1645" s="24"/>
      <c r="I1645" s="13" t="str">
        <f>IFERROR(__xludf.DUMMYFUNCTION("if(isblank(A1645),,split(A1645,""-""))"),"")</f>
        <v/>
      </c>
      <c r="K1645" s="13" t="str">
        <f>IFERROR(__xludf.DUMMYFUNCTION("if(isblank(B1645),,split(B1645,""-""))"),"")</f>
        <v/>
      </c>
    </row>
    <row r="1646">
      <c r="A1646" s="132"/>
      <c r="B1646" s="41"/>
      <c r="C1646" s="9"/>
      <c r="D1646" s="133"/>
      <c r="E1646" s="133"/>
      <c r="F1646" s="24"/>
      <c r="G1646" s="24"/>
      <c r="I1646" s="13" t="str">
        <f>IFERROR(__xludf.DUMMYFUNCTION("if(isblank(A1646),,split(A1646,""-""))"),"")</f>
        <v/>
      </c>
      <c r="K1646" s="13" t="str">
        <f>IFERROR(__xludf.DUMMYFUNCTION("if(isblank(B1646),,split(B1646,""-""))"),"")</f>
        <v/>
      </c>
    </row>
    <row r="1647">
      <c r="A1647" s="132"/>
      <c r="B1647" s="41"/>
      <c r="C1647" s="9"/>
      <c r="D1647" s="133"/>
      <c r="E1647" s="133"/>
      <c r="F1647" s="24"/>
      <c r="G1647" s="24"/>
      <c r="I1647" s="13" t="str">
        <f>IFERROR(__xludf.DUMMYFUNCTION("if(isblank(A1647),,split(A1647,""-""))"),"")</f>
        <v/>
      </c>
      <c r="K1647" s="13" t="str">
        <f>IFERROR(__xludf.DUMMYFUNCTION("if(isblank(B1647),,split(B1647,""-""))"),"")</f>
        <v/>
      </c>
    </row>
    <row r="1648">
      <c r="A1648" s="132"/>
      <c r="B1648" s="41"/>
      <c r="C1648" s="9"/>
      <c r="D1648" s="133"/>
      <c r="E1648" s="133"/>
      <c r="F1648" s="24"/>
      <c r="G1648" s="24"/>
      <c r="I1648" s="13" t="str">
        <f>IFERROR(__xludf.DUMMYFUNCTION("if(isblank(A1648),,split(A1648,""-""))"),"")</f>
        <v/>
      </c>
      <c r="K1648" s="13" t="str">
        <f>IFERROR(__xludf.DUMMYFUNCTION("if(isblank(B1648),,split(B1648,""-""))"),"")</f>
        <v/>
      </c>
    </row>
    <row r="1649">
      <c r="A1649" s="132"/>
      <c r="B1649" s="41"/>
      <c r="C1649" s="9"/>
      <c r="D1649" s="133"/>
      <c r="E1649" s="133"/>
      <c r="F1649" s="24"/>
      <c r="G1649" s="24"/>
      <c r="I1649" s="13" t="str">
        <f>IFERROR(__xludf.DUMMYFUNCTION("if(isblank(A1649),,split(A1649,""-""))"),"")</f>
        <v/>
      </c>
      <c r="K1649" s="13" t="str">
        <f>IFERROR(__xludf.DUMMYFUNCTION("if(isblank(B1649),,split(B1649,""-""))"),"")</f>
        <v/>
      </c>
    </row>
    <row r="1650">
      <c r="A1650" s="132"/>
      <c r="B1650" s="41"/>
      <c r="C1650" s="9"/>
      <c r="D1650" s="133"/>
      <c r="E1650" s="133"/>
      <c r="F1650" s="24"/>
      <c r="G1650" s="24"/>
      <c r="I1650" s="13" t="str">
        <f>IFERROR(__xludf.DUMMYFUNCTION("if(isblank(A1650),,split(A1650,""-""))"),"")</f>
        <v/>
      </c>
      <c r="K1650" s="13" t="str">
        <f>IFERROR(__xludf.DUMMYFUNCTION("if(isblank(B1650),,split(B1650,""-""))"),"")</f>
        <v/>
      </c>
    </row>
    <row r="1651">
      <c r="A1651" s="132"/>
      <c r="B1651" s="41"/>
      <c r="C1651" s="9"/>
      <c r="D1651" s="133"/>
      <c r="E1651" s="133"/>
      <c r="F1651" s="24"/>
      <c r="G1651" s="24"/>
      <c r="I1651" s="13" t="str">
        <f>IFERROR(__xludf.DUMMYFUNCTION("if(isblank(A1651),,split(A1651,""-""))"),"")</f>
        <v/>
      </c>
      <c r="K1651" s="13" t="str">
        <f>IFERROR(__xludf.DUMMYFUNCTION("if(isblank(B1651),,split(B1651,""-""))"),"")</f>
        <v/>
      </c>
    </row>
    <row r="1652">
      <c r="A1652" s="132"/>
      <c r="B1652" s="41"/>
      <c r="C1652" s="9"/>
      <c r="D1652" s="133"/>
      <c r="E1652" s="133"/>
      <c r="F1652" s="24"/>
      <c r="G1652" s="24"/>
      <c r="I1652" s="13" t="str">
        <f>IFERROR(__xludf.DUMMYFUNCTION("if(isblank(A1652),,split(A1652,""-""))"),"")</f>
        <v/>
      </c>
      <c r="K1652" s="13" t="str">
        <f>IFERROR(__xludf.DUMMYFUNCTION("if(isblank(B1652),,split(B1652,""-""))"),"")</f>
        <v/>
      </c>
    </row>
    <row r="1653">
      <c r="A1653" s="132"/>
      <c r="B1653" s="41"/>
      <c r="C1653" s="9"/>
      <c r="D1653" s="133"/>
      <c r="E1653" s="133"/>
      <c r="F1653" s="24"/>
      <c r="G1653" s="24"/>
      <c r="I1653" s="13" t="str">
        <f>IFERROR(__xludf.DUMMYFUNCTION("if(isblank(A1653),,split(A1653,""-""))"),"")</f>
        <v/>
      </c>
      <c r="K1653" s="13" t="str">
        <f>IFERROR(__xludf.DUMMYFUNCTION("if(isblank(B1653),,split(B1653,""-""))"),"")</f>
        <v/>
      </c>
    </row>
    <row r="1654">
      <c r="A1654" s="132"/>
      <c r="B1654" s="41"/>
      <c r="C1654" s="9"/>
      <c r="D1654" s="133"/>
      <c r="E1654" s="133"/>
      <c r="F1654" s="24"/>
      <c r="G1654" s="24"/>
      <c r="I1654" s="13" t="str">
        <f>IFERROR(__xludf.DUMMYFUNCTION("if(isblank(A1654),,split(A1654,""-""))"),"")</f>
        <v/>
      </c>
      <c r="K1654" s="13" t="str">
        <f>IFERROR(__xludf.DUMMYFUNCTION("if(isblank(B1654),,split(B1654,""-""))"),"")</f>
        <v/>
      </c>
    </row>
    <row r="1655">
      <c r="A1655" s="132"/>
      <c r="B1655" s="41"/>
      <c r="C1655" s="9"/>
      <c r="D1655" s="133"/>
      <c r="E1655" s="133"/>
      <c r="F1655" s="24"/>
      <c r="G1655" s="24"/>
      <c r="I1655" s="13" t="str">
        <f>IFERROR(__xludf.DUMMYFUNCTION("if(isblank(A1655),,split(A1655,""-""))"),"")</f>
        <v/>
      </c>
      <c r="K1655" s="13" t="str">
        <f>IFERROR(__xludf.DUMMYFUNCTION("if(isblank(B1655),,split(B1655,""-""))"),"")</f>
        <v/>
      </c>
    </row>
    <row r="1656">
      <c r="A1656" s="132"/>
      <c r="B1656" s="41"/>
      <c r="C1656" s="9"/>
      <c r="D1656" s="133"/>
      <c r="E1656" s="133"/>
      <c r="F1656" s="24"/>
      <c r="G1656" s="24"/>
      <c r="I1656" s="13" t="str">
        <f>IFERROR(__xludf.DUMMYFUNCTION("if(isblank(A1656),,split(A1656,""-""))"),"")</f>
        <v/>
      </c>
      <c r="K1656" s="13" t="str">
        <f>IFERROR(__xludf.DUMMYFUNCTION("if(isblank(B1656),,split(B1656,""-""))"),"")</f>
        <v/>
      </c>
    </row>
    <row r="1657">
      <c r="A1657" s="132"/>
      <c r="B1657" s="41"/>
      <c r="C1657" s="9"/>
      <c r="D1657" s="133"/>
      <c r="E1657" s="133"/>
      <c r="F1657" s="24"/>
      <c r="G1657" s="24"/>
      <c r="I1657" s="13" t="str">
        <f>IFERROR(__xludf.DUMMYFUNCTION("if(isblank(A1657),,split(A1657,""-""))"),"")</f>
        <v/>
      </c>
      <c r="K1657" s="13" t="str">
        <f>IFERROR(__xludf.DUMMYFUNCTION("if(isblank(B1657),,split(B1657,""-""))"),"")</f>
        <v/>
      </c>
    </row>
    <row r="1658">
      <c r="A1658" s="132"/>
      <c r="B1658" s="41"/>
      <c r="C1658" s="9"/>
      <c r="D1658" s="133"/>
      <c r="E1658" s="133"/>
      <c r="F1658" s="24"/>
      <c r="G1658" s="24"/>
      <c r="I1658" s="13" t="str">
        <f>IFERROR(__xludf.DUMMYFUNCTION("if(isblank(A1658),,split(A1658,""-""))"),"")</f>
        <v/>
      </c>
      <c r="K1658" s="13" t="str">
        <f>IFERROR(__xludf.DUMMYFUNCTION("if(isblank(B1658),,split(B1658,""-""))"),"")</f>
        <v/>
      </c>
    </row>
    <row r="1659">
      <c r="A1659" s="132"/>
      <c r="B1659" s="41"/>
      <c r="C1659" s="9"/>
      <c r="D1659" s="133"/>
      <c r="E1659" s="133"/>
      <c r="F1659" s="24"/>
      <c r="G1659" s="24"/>
      <c r="I1659" s="13" t="str">
        <f>IFERROR(__xludf.DUMMYFUNCTION("if(isblank(A1659),,split(A1659,""-""))"),"")</f>
        <v/>
      </c>
      <c r="K1659" s="13" t="str">
        <f>IFERROR(__xludf.DUMMYFUNCTION("if(isblank(B1659),,split(B1659,""-""))"),"")</f>
        <v/>
      </c>
    </row>
    <row r="1660">
      <c r="A1660" s="132"/>
      <c r="B1660" s="41"/>
      <c r="C1660" s="9"/>
      <c r="D1660" s="133"/>
      <c r="E1660" s="133"/>
      <c r="F1660" s="24"/>
      <c r="G1660" s="24"/>
      <c r="I1660" s="13" t="str">
        <f>IFERROR(__xludf.DUMMYFUNCTION("if(isblank(A1660),,split(A1660,""-""))"),"")</f>
        <v/>
      </c>
      <c r="K1660" s="13" t="str">
        <f>IFERROR(__xludf.DUMMYFUNCTION("if(isblank(B1660),,split(B1660,""-""))"),"")</f>
        <v/>
      </c>
    </row>
    <row r="1661">
      <c r="A1661" s="132"/>
      <c r="B1661" s="41"/>
      <c r="C1661" s="9"/>
      <c r="D1661" s="133"/>
      <c r="E1661" s="133"/>
      <c r="F1661" s="24"/>
      <c r="G1661" s="24"/>
      <c r="I1661" s="13" t="str">
        <f>IFERROR(__xludf.DUMMYFUNCTION("if(isblank(A1661),,split(A1661,""-""))"),"")</f>
        <v/>
      </c>
      <c r="K1661" s="13" t="str">
        <f>IFERROR(__xludf.DUMMYFUNCTION("if(isblank(B1661),,split(B1661,""-""))"),"")</f>
        <v/>
      </c>
    </row>
    <row r="1662">
      <c r="A1662" s="132"/>
      <c r="B1662" s="41"/>
      <c r="C1662" s="9"/>
      <c r="D1662" s="133"/>
      <c r="E1662" s="133"/>
      <c r="F1662" s="24"/>
      <c r="G1662" s="24"/>
      <c r="I1662" s="13" t="str">
        <f>IFERROR(__xludf.DUMMYFUNCTION("if(isblank(A1662),,split(A1662,""-""))"),"")</f>
        <v/>
      </c>
      <c r="K1662" s="13" t="str">
        <f>IFERROR(__xludf.DUMMYFUNCTION("if(isblank(B1662),,split(B1662,""-""))"),"")</f>
        <v/>
      </c>
    </row>
    <row r="1663">
      <c r="A1663" s="132"/>
      <c r="B1663" s="41"/>
      <c r="C1663" s="9"/>
      <c r="D1663" s="133"/>
      <c r="E1663" s="133"/>
      <c r="F1663" s="24"/>
      <c r="G1663" s="24"/>
      <c r="I1663" s="13" t="str">
        <f>IFERROR(__xludf.DUMMYFUNCTION("if(isblank(A1663),,split(A1663,""-""))"),"")</f>
        <v/>
      </c>
      <c r="K1663" s="13" t="str">
        <f>IFERROR(__xludf.DUMMYFUNCTION("if(isblank(B1663),,split(B1663,""-""))"),"")</f>
        <v/>
      </c>
    </row>
    <row r="1664">
      <c r="A1664" s="132"/>
      <c r="B1664" s="41"/>
      <c r="C1664" s="9"/>
      <c r="D1664" s="133"/>
      <c r="E1664" s="133"/>
      <c r="F1664" s="24"/>
      <c r="G1664" s="24"/>
      <c r="I1664" s="13" t="str">
        <f>IFERROR(__xludf.DUMMYFUNCTION("if(isblank(A1664),,split(A1664,""-""))"),"")</f>
        <v/>
      </c>
      <c r="K1664" s="13" t="str">
        <f>IFERROR(__xludf.DUMMYFUNCTION("if(isblank(B1664),,split(B1664,""-""))"),"")</f>
        <v/>
      </c>
    </row>
    <row r="1665">
      <c r="A1665" s="132"/>
      <c r="B1665" s="41"/>
      <c r="C1665" s="9"/>
      <c r="D1665" s="133"/>
      <c r="E1665" s="133"/>
      <c r="F1665" s="24"/>
      <c r="G1665" s="24"/>
      <c r="I1665" s="13" t="str">
        <f>IFERROR(__xludf.DUMMYFUNCTION("if(isblank(A1665),,split(A1665,""-""))"),"")</f>
        <v/>
      </c>
      <c r="K1665" s="13" t="str">
        <f>IFERROR(__xludf.DUMMYFUNCTION("if(isblank(B1665),,split(B1665,""-""))"),"")</f>
        <v/>
      </c>
    </row>
    <row r="1666">
      <c r="A1666" s="132"/>
      <c r="B1666" s="41"/>
      <c r="C1666" s="9"/>
      <c r="D1666" s="133"/>
      <c r="E1666" s="133"/>
      <c r="F1666" s="24"/>
      <c r="G1666" s="24"/>
      <c r="I1666" s="13" t="str">
        <f>IFERROR(__xludf.DUMMYFUNCTION("if(isblank(A1666),,split(A1666,""-""))"),"")</f>
        <v/>
      </c>
      <c r="K1666" s="13" t="str">
        <f>IFERROR(__xludf.DUMMYFUNCTION("if(isblank(B1666),,split(B1666,""-""))"),"")</f>
        <v/>
      </c>
    </row>
    <row r="1667">
      <c r="A1667" s="132"/>
      <c r="B1667" s="41"/>
      <c r="C1667" s="9"/>
      <c r="D1667" s="133"/>
      <c r="E1667" s="133"/>
      <c r="F1667" s="24"/>
      <c r="G1667" s="24"/>
      <c r="I1667" s="13" t="str">
        <f>IFERROR(__xludf.DUMMYFUNCTION("if(isblank(A1667),,split(A1667,""-""))"),"")</f>
        <v/>
      </c>
      <c r="K1667" s="13" t="str">
        <f>IFERROR(__xludf.DUMMYFUNCTION("if(isblank(B1667),,split(B1667,""-""))"),"")</f>
        <v/>
      </c>
    </row>
    <row r="1668">
      <c r="A1668" s="132"/>
      <c r="B1668" s="41"/>
      <c r="C1668" s="9"/>
      <c r="D1668" s="133"/>
      <c r="E1668" s="133"/>
      <c r="F1668" s="24"/>
      <c r="G1668" s="24"/>
      <c r="I1668" s="13" t="str">
        <f>IFERROR(__xludf.DUMMYFUNCTION("if(isblank(A1668),,split(A1668,""-""))"),"")</f>
        <v/>
      </c>
      <c r="K1668" s="13" t="str">
        <f>IFERROR(__xludf.DUMMYFUNCTION("if(isblank(B1668),,split(B1668,""-""))"),"")</f>
        <v/>
      </c>
    </row>
    <row r="1669">
      <c r="A1669" s="132"/>
      <c r="B1669" s="41"/>
      <c r="C1669" s="9"/>
      <c r="D1669" s="133"/>
      <c r="E1669" s="133"/>
      <c r="F1669" s="24"/>
      <c r="G1669" s="24"/>
      <c r="I1669" s="13" t="str">
        <f>IFERROR(__xludf.DUMMYFUNCTION("if(isblank(A1669),,split(A1669,""-""))"),"")</f>
        <v/>
      </c>
      <c r="K1669" s="13" t="str">
        <f>IFERROR(__xludf.DUMMYFUNCTION("if(isblank(B1669),,split(B1669,""-""))"),"")</f>
        <v/>
      </c>
    </row>
    <row r="1670">
      <c r="A1670" s="132"/>
      <c r="B1670" s="41"/>
      <c r="C1670" s="9"/>
      <c r="D1670" s="133"/>
      <c r="E1670" s="133"/>
      <c r="F1670" s="24"/>
      <c r="G1670" s="24"/>
      <c r="I1670" s="13" t="str">
        <f>IFERROR(__xludf.DUMMYFUNCTION("if(isblank(A1670),,split(A1670,""-""))"),"")</f>
        <v/>
      </c>
      <c r="K1670" s="13" t="str">
        <f>IFERROR(__xludf.DUMMYFUNCTION("if(isblank(B1670),,split(B1670,""-""))"),"")</f>
        <v/>
      </c>
    </row>
    <row r="1671">
      <c r="A1671" s="132"/>
      <c r="B1671" s="41"/>
      <c r="C1671" s="9"/>
      <c r="D1671" s="133"/>
      <c r="E1671" s="133"/>
      <c r="F1671" s="24"/>
      <c r="G1671" s="24"/>
      <c r="I1671" s="13" t="str">
        <f>IFERROR(__xludf.DUMMYFUNCTION("if(isblank(A1671),,split(A1671,""-""))"),"")</f>
        <v/>
      </c>
      <c r="K1671" s="13" t="str">
        <f>IFERROR(__xludf.DUMMYFUNCTION("if(isblank(B1671),,split(B1671,""-""))"),"")</f>
        <v/>
      </c>
    </row>
    <row r="1672">
      <c r="A1672" s="132"/>
      <c r="B1672" s="41"/>
      <c r="C1672" s="9"/>
      <c r="D1672" s="133"/>
      <c r="E1672" s="133"/>
      <c r="F1672" s="24"/>
      <c r="G1672" s="24"/>
      <c r="I1672" s="13" t="str">
        <f>IFERROR(__xludf.DUMMYFUNCTION("if(isblank(A1672),,split(A1672,""-""))"),"")</f>
        <v/>
      </c>
      <c r="K1672" s="13" t="str">
        <f>IFERROR(__xludf.DUMMYFUNCTION("if(isblank(B1672),,split(B1672,""-""))"),"")</f>
        <v/>
      </c>
    </row>
    <row r="1673">
      <c r="A1673" s="132"/>
      <c r="B1673" s="41"/>
      <c r="C1673" s="9"/>
      <c r="D1673" s="133"/>
      <c r="E1673" s="133"/>
      <c r="F1673" s="24"/>
      <c r="G1673" s="24"/>
      <c r="I1673" s="13" t="str">
        <f>IFERROR(__xludf.DUMMYFUNCTION("if(isblank(A1673),,split(A1673,""-""))"),"")</f>
        <v/>
      </c>
      <c r="K1673" s="13" t="str">
        <f>IFERROR(__xludf.DUMMYFUNCTION("if(isblank(B1673),,split(B1673,""-""))"),"")</f>
        <v/>
      </c>
    </row>
    <row r="1674">
      <c r="A1674" s="132"/>
      <c r="B1674" s="41"/>
      <c r="C1674" s="9"/>
      <c r="D1674" s="133"/>
      <c r="E1674" s="133"/>
      <c r="F1674" s="24"/>
      <c r="G1674" s="24"/>
      <c r="I1674" s="13" t="str">
        <f>IFERROR(__xludf.DUMMYFUNCTION("if(isblank(A1674),,split(A1674,""-""))"),"")</f>
        <v/>
      </c>
      <c r="K1674" s="13" t="str">
        <f>IFERROR(__xludf.DUMMYFUNCTION("if(isblank(B1674),,split(B1674,""-""))"),"")</f>
        <v/>
      </c>
    </row>
    <row r="1675">
      <c r="A1675" s="132"/>
      <c r="B1675" s="41"/>
      <c r="C1675" s="9"/>
      <c r="D1675" s="133"/>
      <c r="E1675" s="133"/>
      <c r="F1675" s="24"/>
      <c r="G1675" s="24"/>
      <c r="I1675" s="13" t="str">
        <f>IFERROR(__xludf.DUMMYFUNCTION("if(isblank(A1675),,split(A1675,""-""))"),"")</f>
        <v/>
      </c>
      <c r="K1675" s="13" t="str">
        <f>IFERROR(__xludf.DUMMYFUNCTION("if(isblank(B1675),,split(B1675,""-""))"),"")</f>
        <v/>
      </c>
    </row>
    <row r="1676">
      <c r="A1676" s="132"/>
      <c r="B1676" s="41"/>
      <c r="C1676" s="9"/>
      <c r="D1676" s="133"/>
      <c r="E1676" s="133"/>
      <c r="F1676" s="24"/>
      <c r="G1676" s="24"/>
      <c r="I1676" s="13" t="str">
        <f>IFERROR(__xludf.DUMMYFUNCTION("if(isblank(A1676),,split(A1676,""-""))"),"")</f>
        <v/>
      </c>
      <c r="K1676" s="13" t="str">
        <f>IFERROR(__xludf.DUMMYFUNCTION("if(isblank(B1676),,split(B1676,""-""))"),"")</f>
        <v/>
      </c>
    </row>
    <row r="1677">
      <c r="A1677" s="132"/>
      <c r="B1677" s="41"/>
      <c r="C1677" s="9"/>
      <c r="D1677" s="133"/>
      <c r="E1677" s="133"/>
      <c r="F1677" s="24"/>
      <c r="G1677" s="24"/>
      <c r="I1677" s="13" t="str">
        <f>IFERROR(__xludf.DUMMYFUNCTION("if(isblank(A1677),,split(A1677,""-""))"),"")</f>
        <v/>
      </c>
      <c r="K1677" s="13" t="str">
        <f>IFERROR(__xludf.DUMMYFUNCTION("if(isblank(B1677),,split(B1677,""-""))"),"")</f>
        <v/>
      </c>
    </row>
    <row r="1678">
      <c r="A1678" s="132"/>
      <c r="B1678" s="41"/>
      <c r="C1678" s="9"/>
      <c r="D1678" s="133"/>
      <c r="E1678" s="133"/>
      <c r="F1678" s="24"/>
      <c r="G1678" s="24"/>
      <c r="I1678" s="13" t="str">
        <f>IFERROR(__xludf.DUMMYFUNCTION("if(isblank(A1678),,split(A1678,""-""))"),"")</f>
        <v/>
      </c>
      <c r="K1678" s="13" t="str">
        <f>IFERROR(__xludf.DUMMYFUNCTION("if(isblank(B1678),,split(B1678,""-""))"),"")</f>
        <v/>
      </c>
    </row>
    <row r="1679">
      <c r="A1679" s="132"/>
      <c r="B1679" s="41"/>
      <c r="C1679" s="9"/>
      <c r="D1679" s="133"/>
      <c r="E1679" s="133"/>
      <c r="F1679" s="24"/>
      <c r="G1679" s="24"/>
      <c r="I1679" s="13" t="str">
        <f>IFERROR(__xludf.DUMMYFUNCTION("if(isblank(A1679),,split(A1679,""-""))"),"")</f>
        <v/>
      </c>
      <c r="K1679" s="13" t="str">
        <f>IFERROR(__xludf.DUMMYFUNCTION("if(isblank(B1679),,split(B1679,""-""))"),"")</f>
        <v/>
      </c>
    </row>
    <row r="1680">
      <c r="A1680" s="132"/>
      <c r="B1680" s="41"/>
      <c r="C1680" s="9"/>
      <c r="D1680" s="133"/>
      <c r="E1680" s="133"/>
      <c r="F1680" s="24"/>
      <c r="G1680" s="24"/>
      <c r="I1680" s="13" t="str">
        <f>IFERROR(__xludf.DUMMYFUNCTION("if(isblank(A1680),,split(A1680,""-""))"),"")</f>
        <v/>
      </c>
      <c r="K1680" s="13" t="str">
        <f>IFERROR(__xludf.DUMMYFUNCTION("if(isblank(B1680),,split(B1680,""-""))"),"")</f>
        <v/>
      </c>
    </row>
    <row r="1681">
      <c r="A1681" s="132"/>
      <c r="B1681" s="41"/>
      <c r="C1681" s="9"/>
      <c r="D1681" s="133"/>
      <c r="E1681" s="133"/>
      <c r="F1681" s="24"/>
      <c r="G1681" s="24"/>
      <c r="I1681" s="13" t="str">
        <f>IFERROR(__xludf.DUMMYFUNCTION("if(isblank(A1681),,split(A1681,""-""))"),"")</f>
        <v/>
      </c>
      <c r="K1681" s="13" t="str">
        <f>IFERROR(__xludf.DUMMYFUNCTION("if(isblank(B1681),,split(B1681,""-""))"),"")</f>
        <v/>
      </c>
    </row>
    <row r="1682">
      <c r="A1682" s="132"/>
      <c r="B1682" s="41"/>
      <c r="C1682" s="9"/>
      <c r="D1682" s="133"/>
      <c r="E1682" s="133"/>
      <c r="F1682" s="24"/>
      <c r="G1682" s="24"/>
      <c r="I1682" s="13" t="str">
        <f>IFERROR(__xludf.DUMMYFUNCTION("if(isblank(A1682),,split(A1682,""-""))"),"")</f>
        <v/>
      </c>
      <c r="K1682" s="13" t="str">
        <f>IFERROR(__xludf.DUMMYFUNCTION("if(isblank(B1682),,split(B1682,""-""))"),"")</f>
        <v/>
      </c>
    </row>
    <row r="1683">
      <c r="A1683" s="132"/>
      <c r="B1683" s="41"/>
      <c r="C1683" s="9"/>
      <c r="D1683" s="133"/>
      <c r="E1683" s="133"/>
      <c r="F1683" s="24"/>
      <c r="G1683" s="24"/>
      <c r="I1683" s="13" t="str">
        <f>IFERROR(__xludf.DUMMYFUNCTION("if(isblank(A1683),,split(A1683,""-""))"),"")</f>
        <v/>
      </c>
      <c r="K1683" s="13" t="str">
        <f>IFERROR(__xludf.DUMMYFUNCTION("if(isblank(B1683),,split(B1683,""-""))"),"")</f>
        <v/>
      </c>
    </row>
    <row r="1684">
      <c r="A1684" s="132"/>
      <c r="B1684" s="41"/>
      <c r="C1684" s="9"/>
      <c r="D1684" s="133"/>
      <c r="E1684" s="133"/>
      <c r="F1684" s="24"/>
      <c r="G1684" s="24"/>
      <c r="I1684" s="13" t="str">
        <f>IFERROR(__xludf.DUMMYFUNCTION("if(isblank(A1684),,split(A1684,""-""))"),"")</f>
        <v/>
      </c>
      <c r="K1684" s="13" t="str">
        <f>IFERROR(__xludf.DUMMYFUNCTION("if(isblank(B1684),,split(B1684,""-""))"),"")</f>
        <v/>
      </c>
    </row>
    <row r="1685">
      <c r="A1685" s="132"/>
      <c r="B1685" s="41"/>
      <c r="C1685" s="9"/>
      <c r="D1685" s="133"/>
      <c r="E1685" s="133"/>
      <c r="F1685" s="24"/>
      <c r="G1685" s="24"/>
      <c r="I1685" s="13" t="str">
        <f>IFERROR(__xludf.DUMMYFUNCTION("if(isblank(A1685),,split(A1685,""-""))"),"")</f>
        <v/>
      </c>
      <c r="K1685" s="13" t="str">
        <f>IFERROR(__xludf.DUMMYFUNCTION("if(isblank(B1685),,split(B1685,""-""))"),"")</f>
        <v/>
      </c>
    </row>
    <row r="1686">
      <c r="A1686" s="132"/>
      <c r="B1686" s="41"/>
      <c r="C1686" s="9"/>
      <c r="D1686" s="133"/>
      <c r="E1686" s="133"/>
      <c r="F1686" s="24"/>
      <c r="G1686" s="24"/>
      <c r="I1686" s="13" t="str">
        <f>IFERROR(__xludf.DUMMYFUNCTION("if(isblank(A1686),,split(A1686,""-""))"),"")</f>
        <v/>
      </c>
      <c r="K1686" s="13" t="str">
        <f>IFERROR(__xludf.DUMMYFUNCTION("if(isblank(B1686),,split(B1686,""-""))"),"")</f>
        <v/>
      </c>
    </row>
    <row r="1687">
      <c r="A1687" s="132"/>
      <c r="B1687" s="41"/>
      <c r="C1687" s="9"/>
      <c r="D1687" s="133"/>
      <c r="E1687" s="133"/>
      <c r="F1687" s="24"/>
      <c r="G1687" s="24"/>
      <c r="I1687" s="13" t="str">
        <f>IFERROR(__xludf.DUMMYFUNCTION("if(isblank(A1687),,split(A1687,""-""))"),"")</f>
        <v/>
      </c>
      <c r="K1687" s="13" t="str">
        <f>IFERROR(__xludf.DUMMYFUNCTION("if(isblank(B1687),,split(B1687,""-""))"),"")</f>
        <v/>
      </c>
    </row>
    <row r="1688">
      <c r="A1688" s="132"/>
      <c r="B1688" s="41"/>
      <c r="C1688" s="9"/>
      <c r="D1688" s="133"/>
      <c r="E1688" s="133"/>
      <c r="F1688" s="24"/>
      <c r="G1688" s="24"/>
      <c r="I1688" s="13" t="str">
        <f>IFERROR(__xludf.DUMMYFUNCTION("if(isblank(A1688),,split(A1688,""-""))"),"")</f>
        <v/>
      </c>
      <c r="K1688" s="13" t="str">
        <f>IFERROR(__xludf.DUMMYFUNCTION("if(isblank(B1688),,split(B1688,""-""))"),"")</f>
        <v/>
      </c>
    </row>
    <row r="1689">
      <c r="A1689" s="132"/>
      <c r="B1689" s="41"/>
      <c r="C1689" s="9"/>
      <c r="D1689" s="133"/>
      <c r="E1689" s="133"/>
      <c r="F1689" s="24"/>
      <c r="G1689" s="24"/>
      <c r="I1689" s="13" t="str">
        <f>IFERROR(__xludf.DUMMYFUNCTION("if(isblank(A1689),,split(A1689,""-""))"),"")</f>
        <v/>
      </c>
      <c r="K1689" s="13" t="str">
        <f>IFERROR(__xludf.DUMMYFUNCTION("if(isblank(B1689),,split(B1689,""-""))"),"")</f>
        <v/>
      </c>
    </row>
    <row r="1690">
      <c r="A1690" s="132"/>
      <c r="B1690" s="41"/>
      <c r="C1690" s="9"/>
      <c r="D1690" s="133"/>
      <c r="E1690" s="133"/>
      <c r="F1690" s="24"/>
      <c r="G1690" s="24"/>
      <c r="I1690" s="13" t="str">
        <f>IFERROR(__xludf.DUMMYFUNCTION("if(isblank(A1690),,split(A1690,""-""))"),"")</f>
        <v/>
      </c>
      <c r="K1690" s="13" t="str">
        <f>IFERROR(__xludf.DUMMYFUNCTION("if(isblank(B1690),,split(B1690,""-""))"),"")</f>
        <v/>
      </c>
    </row>
    <row r="1691">
      <c r="A1691" s="132"/>
      <c r="B1691" s="41"/>
      <c r="C1691" s="9"/>
      <c r="D1691" s="133"/>
      <c r="E1691" s="133"/>
      <c r="F1691" s="24"/>
      <c r="G1691" s="24"/>
      <c r="I1691" s="13" t="str">
        <f>IFERROR(__xludf.DUMMYFUNCTION("if(isblank(A1691),,split(A1691,""-""))"),"")</f>
        <v/>
      </c>
      <c r="K1691" s="13" t="str">
        <f>IFERROR(__xludf.DUMMYFUNCTION("if(isblank(B1691),,split(B1691,""-""))"),"")</f>
        <v/>
      </c>
    </row>
    <row r="1692">
      <c r="A1692" s="132"/>
      <c r="B1692" s="41"/>
      <c r="C1692" s="9"/>
      <c r="D1692" s="133"/>
      <c r="E1692" s="133"/>
      <c r="F1692" s="24"/>
      <c r="G1692" s="24"/>
      <c r="I1692" s="13" t="str">
        <f>IFERROR(__xludf.DUMMYFUNCTION("if(isblank(A1692),,split(A1692,""-""))"),"")</f>
        <v/>
      </c>
      <c r="K1692" s="13" t="str">
        <f>IFERROR(__xludf.DUMMYFUNCTION("if(isblank(B1692),,split(B1692,""-""))"),"")</f>
        <v/>
      </c>
    </row>
    <row r="1693">
      <c r="A1693" s="132"/>
      <c r="B1693" s="41"/>
      <c r="C1693" s="9"/>
      <c r="D1693" s="133"/>
      <c r="E1693" s="133"/>
      <c r="F1693" s="24"/>
      <c r="G1693" s="24"/>
      <c r="I1693" s="13" t="str">
        <f>IFERROR(__xludf.DUMMYFUNCTION("if(isblank(A1693),,split(A1693,""-""))"),"")</f>
        <v/>
      </c>
      <c r="K1693" s="13" t="str">
        <f>IFERROR(__xludf.DUMMYFUNCTION("if(isblank(B1693),,split(B1693,""-""))"),"")</f>
        <v/>
      </c>
    </row>
    <row r="1694">
      <c r="A1694" s="132"/>
      <c r="B1694" s="41"/>
      <c r="C1694" s="9"/>
      <c r="D1694" s="133"/>
      <c r="E1694" s="133"/>
      <c r="F1694" s="24"/>
      <c r="G1694" s="24"/>
      <c r="I1694" s="13" t="str">
        <f>IFERROR(__xludf.DUMMYFUNCTION("if(isblank(A1694),,split(A1694,""-""))"),"")</f>
        <v/>
      </c>
      <c r="K1694" s="13" t="str">
        <f>IFERROR(__xludf.DUMMYFUNCTION("if(isblank(B1694),,split(B1694,""-""))"),"")</f>
        <v/>
      </c>
    </row>
    <row r="1695">
      <c r="A1695" s="132"/>
      <c r="B1695" s="41"/>
      <c r="C1695" s="9"/>
      <c r="D1695" s="133"/>
      <c r="E1695" s="133"/>
      <c r="F1695" s="24"/>
      <c r="G1695" s="24"/>
      <c r="I1695" s="13" t="str">
        <f>IFERROR(__xludf.DUMMYFUNCTION("if(isblank(A1695),,split(A1695,""-""))"),"")</f>
        <v/>
      </c>
      <c r="K1695" s="13" t="str">
        <f>IFERROR(__xludf.DUMMYFUNCTION("if(isblank(B1695),,split(B1695,""-""))"),"")</f>
        <v/>
      </c>
    </row>
    <row r="1696">
      <c r="A1696" s="132"/>
      <c r="B1696" s="41"/>
      <c r="C1696" s="9"/>
      <c r="D1696" s="133"/>
      <c r="E1696" s="133"/>
      <c r="F1696" s="24"/>
      <c r="G1696" s="24"/>
      <c r="I1696" s="13" t="str">
        <f>IFERROR(__xludf.DUMMYFUNCTION("if(isblank(A1696),,split(A1696,""-""))"),"")</f>
        <v/>
      </c>
      <c r="K1696" s="13" t="str">
        <f>IFERROR(__xludf.DUMMYFUNCTION("if(isblank(B1696),,split(B1696,""-""))"),"")</f>
        <v/>
      </c>
    </row>
    <row r="1697">
      <c r="A1697" s="132"/>
      <c r="B1697" s="41"/>
      <c r="C1697" s="9"/>
      <c r="D1697" s="133"/>
      <c r="E1697" s="133"/>
      <c r="F1697" s="24"/>
      <c r="G1697" s="24"/>
      <c r="I1697" s="13" t="str">
        <f>IFERROR(__xludf.DUMMYFUNCTION("if(isblank(A1697),,split(A1697,""-""))"),"")</f>
        <v/>
      </c>
      <c r="K1697" s="13" t="str">
        <f>IFERROR(__xludf.DUMMYFUNCTION("if(isblank(B1697),,split(B1697,""-""))"),"")</f>
        <v/>
      </c>
    </row>
    <row r="1698">
      <c r="A1698" s="132"/>
      <c r="B1698" s="41"/>
      <c r="C1698" s="9"/>
      <c r="D1698" s="133"/>
      <c r="E1698" s="133"/>
      <c r="F1698" s="24"/>
      <c r="G1698" s="24"/>
      <c r="I1698" s="13" t="str">
        <f>IFERROR(__xludf.DUMMYFUNCTION("if(isblank(A1698),,split(A1698,""-""))"),"")</f>
        <v/>
      </c>
      <c r="K1698" s="13" t="str">
        <f>IFERROR(__xludf.DUMMYFUNCTION("if(isblank(B1698),,split(B1698,""-""))"),"")</f>
        <v/>
      </c>
    </row>
    <row r="1699">
      <c r="A1699" s="132"/>
      <c r="B1699" s="41"/>
      <c r="C1699" s="9"/>
      <c r="D1699" s="133"/>
      <c r="E1699" s="133"/>
      <c r="F1699" s="24"/>
      <c r="G1699" s="24"/>
      <c r="I1699" s="13" t="str">
        <f>IFERROR(__xludf.DUMMYFUNCTION("if(isblank(A1699),,split(A1699,""-""))"),"")</f>
        <v/>
      </c>
      <c r="K1699" s="13" t="str">
        <f>IFERROR(__xludf.DUMMYFUNCTION("if(isblank(B1699),,split(B1699,""-""))"),"")</f>
        <v/>
      </c>
    </row>
    <row r="1700">
      <c r="A1700" s="132"/>
      <c r="B1700" s="41"/>
      <c r="C1700" s="9"/>
      <c r="D1700" s="133"/>
      <c r="E1700" s="133"/>
      <c r="F1700" s="24"/>
      <c r="G1700" s="24"/>
      <c r="I1700" s="13" t="str">
        <f>IFERROR(__xludf.DUMMYFUNCTION("if(isblank(A1700),,split(A1700,""-""))"),"")</f>
        <v/>
      </c>
      <c r="K1700" s="13" t="str">
        <f>IFERROR(__xludf.DUMMYFUNCTION("if(isblank(B1700),,split(B1700,""-""))"),"")</f>
        <v/>
      </c>
    </row>
    <row r="1701">
      <c r="A1701" s="132"/>
      <c r="B1701" s="41"/>
      <c r="C1701" s="9"/>
      <c r="D1701" s="133"/>
      <c r="E1701" s="133"/>
      <c r="F1701" s="24"/>
      <c r="G1701" s="24"/>
      <c r="I1701" s="13" t="str">
        <f>IFERROR(__xludf.DUMMYFUNCTION("if(isblank(A1701),,split(A1701,""-""))"),"")</f>
        <v/>
      </c>
      <c r="K1701" s="13" t="str">
        <f>IFERROR(__xludf.DUMMYFUNCTION("if(isblank(B1701),,split(B1701,""-""))"),"")</f>
        <v/>
      </c>
    </row>
    <row r="1702">
      <c r="A1702" s="132"/>
      <c r="B1702" s="41"/>
      <c r="C1702" s="9"/>
      <c r="D1702" s="133"/>
      <c r="E1702" s="133"/>
      <c r="F1702" s="24"/>
      <c r="G1702" s="24"/>
      <c r="I1702" s="13" t="str">
        <f>IFERROR(__xludf.DUMMYFUNCTION("if(isblank(A1702),,split(A1702,""-""))"),"")</f>
        <v/>
      </c>
      <c r="K1702" s="13" t="str">
        <f>IFERROR(__xludf.DUMMYFUNCTION("if(isblank(B1702),,split(B1702,""-""))"),"")</f>
        <v/>
      </c>
    </row>
    <row r="1703">
      <c r="A1703" s="132"/>
      <c r="B1703" s="41"/>
      <c r="C1703" s="9"/>
      <c r="D1703" s="133"/>
      <c r="E1703" s="133"/>
      <c r="F1703" s="24"/>
      <c r="G1703" s="24"/>
      <c r="I1703" s="13" t="str">
        <f>IFERROR(__xludf.DUMMYFUNCTION("if(isblank(A1703),,split(A1703,""-""))"),"")</f>
        <v/>
      </c>
      <c r="K1703" s="13" t="str">
        <f>IFERROR(__xludf.DUMMYFUNCTION("if(isblank(B1703),,split(B1703,""-""))"),"")</f>
        <v/>
      </c>
    </row>
    <row r="1704">
      <c r="A1704" s="132"/>
      <c r="B1704" s="41"/>
      <c r="C1704" s="9"/>
      <c r="D1704" s="133"/>
      <c r="E1704" s="133"/>
      <c r="F1704" s="24"/>
      <c r="G1704" s="24"/>
      <c r="I1704" s="13" t="str">
        <f>IFERROR(__xludf.DUMMYFUNCTION("if(isblank(A1704),,split(A1704,""-""))"),"")</f>
        <v/>
      </c>
      <c r="K1704" s="13" t="str">
        <f>IFERROR(__xludf.DUMMYFUNCTION("if(isblank(B1704),,split(B1704,""-""))"),"")</f>
        <v/>
      </c>
    </row>
    <row r="1705">
      <c r="A1705" s="132"/>
      <c r="B1705" s="41"/>
      <c r="C1705" s="9"/>
      <c r="D1705" s="133"/>
      <c r="E1705" s="133"/>
      <c r="F1705" s="24"/>
      <c r="G1705" s="24"/>
      <c r="I1705" s="13" t="str">
        <f>IFERROR(__xludf.DUMMYFUNCTION("if(isblank(A1705),,split(A1705,""-""))"),"")</f>
        <v/>
      </c>
      <c r="K1705" s="13" t="str">
        <f>IFERROR(__xludf.DUMMYFUNCTION("if(isblank(B1705),,split(B1705,""-""))"),"")</f>
        <v/>
      </c>
    </row>
    <row r="1706">
      <c r="A1706" s="132"/>
      <c r="B1706" s="41"/>
      <c r="C1706" s="9"/>
      <c r="D1706" s="133"/>
      <c r="E1706" s="133"/>
      <c r="F1706" s="24"/>
      <c r="G1706" s="24"/>
      <c r="I1706" s="13" t="str">
        <f>IFERROR(__xludf.DUMMYFUNCTION("if(isblank(A1706),,split(A1706,""-""))"),"")</f>
        <v/>
      </c>
      <c r="K1706" s="13" t="str">
        <f>IFERROR(__xludf.DUMMYFUNCTION("if(isblank(B1706),,split(B1706,""-""))"),"")</f>
        <v/>
      </c>
    </row>
    <row r="1707">
      <c r="A1707" s="132"/>
      <c r="B1707" s="41"/>
      <c r="C1707" s="9"/>
      <c r="D1707" s="133"/>
      <c r="E1707" s="133"/>
      <c r="F1707" s="24"/>
      <c r="G1707" s="24"/>
      <c r="I1707" s="13" t="str">
        <f>IFERROR(__xludf.DUMMYFUNCTION("if(isblank(A1707),,split(A1707,""-""))"),"")</f>
        <v/>
      </c>
      <c r="K1707" s="13" t="str">
        <f>IFERROR(__xludf.DUMMYFUNCTION("if(isblank(B1707),,split(B1707,""-""))"),"")</f>
        <v/>
      </c>
    </row>
    <row r="1708">
      <c r="A1708" s="132"/>
      <c r="B1708" s="41"/>
      <c r="C1708" s="9"/>
      <c r="D1708" s="133"/>
      <c r="E1708" s="133"/>
      <c r="F1708" s="24"/>
      <c r="G1708" s="24"/>
      <c r="I1708" s="13" t="str">
        <f>IFERROR(__xludf.DUMMYFUNCTION("if(isblank(A1708),,split(A1708,""-""))"),"")</f>
        <v/>
      </c>
      <c r="K1708" s="13" t="str">
        <f>IFERROR(__xludf.DUMMYFUNCTION("if(isblank(B1708),,split(B1708,""-""))"),"")</f>
        <v/>
      </c>
    </row>
    <row r="1709">
      <c r="A1709" s="132"/>
      <c r="B1709" s="41"/>
      <c r="C1709" s="9"/>
      <c r="D1709" s="133"/>
      <c r="E1709" s="133"/>
      <c r="F1709" s="24"/>
      <c r="G1709" s="24"/>
      <c r="I1709" s="13" t="str">
        <f>IFERROR(__xludf.DUMMYFUNCTION("if(isblank(A1709),,split(A1709,""-""))"),"")</f>
        <v/>
      </c>
      <c r="K1709" s="13" t="str">
        <f>IFERROR(__xludf.DUMMYFUNCTION("if(isblank(B1709),,split(B1709,""-""))"),"")</f>
        <v/>
      </c>
    </row>
    <row r="1710">
      <c r="A1710" s="132"/>
      <c r="B1710" s="41"/>
      <c r="C1710" s="9"/>
      <c r="D1710" s="133"/>
      <c r="E1710" s="133"/>
      <c r="F1710" s="24"/>
      <c r="G1710" s="24"/>
      <c r="I1710" s="13" t="str">
        <f>IFERROR(__xludf.DUMMYFUNCTION("if(isblank(A1710),,split(A1710,""-""))"),"")</f>
        <v/>
      </c>
      <c r="K1710" s="13" t="str">
        <f>IFERROR(__xludf.DUMMYFUNCTION("if(isblank(B1710),,split(B1710,""-""))"),"")</f>
        <v/>
      </c>
    </row>
    <row r="1711">
      <c r="A1711" s="132"/>
      <c r="B1711" s="41"/>
      <c r="C1711" s="9"/>
      <c r="D1711" s="133"/>
      <c r="E1711" s="133"/>
      <c r="F1711" s="24"/>
      <c r="G1711" s="24"/>
      <c r="I1711" s="13" t="str">
        <f>IFERROR(__xludf.DUMMYFUNCTION("if(isblank(A1711),,split(A1711,""-""))"),"")</f>
        <v/>
      </c>
      <c r="K1711" s="13" t="str">
        <f>IFERROR(__xludf.DUMMYFUNCTION("if(isblank(B1711),,split(B1711,""-""))"),"")</f>
        <v/>
      </c>
    </row>
    <row r="1712">
      <c r="A1712" s="132"/>
      <c r="B1712" s="41"/>
      <c r="C1712" s="9"/>
      <c r="D1712" s="133"/>
      <c r="E1712" s="133"/>
      <c r="F1712" s="24"/>
      <c r="G1712" s="24"/>
      <c r="I1712" s="13" t="str">
        <f>IFERROR(__xludf.DUMMYFUNCTION("if(isblank(A1712),,split(A1712,""-""))"),"")</f>
        <v/>
      </c>
      <c r="K1712" s="13" t="str">
        <f>IFERROR(__xludf.DUMMYFUNCTION("if(isblank(B1712),,split(B1712,""-""))"),"")</f>
        <v/>
      </c>
    </row>
    <row r="1713">
      <c r="A1713" s="132"/>
      <c r="B1713" s="41"/>
      <c r="C1713" s="9"/>
      <c r="D1713" s="133"/>
      <c r="E1713" s="133"/>
      <c r="F1713" s="24"/>
      <c r="G1713" s="24"/>
      <c r="I1713" s="13" t="str">
        <f>IFERROR(__xludf.DUMMYFUNCTION("if(isblank(A1713),,split(A1713,""-""))"),"")</f>
        <v/>
      </c>
      <c r="K1713" s="13" t="str">
        <f>IFERROR(__xludf.DUMMYFUNCTION("if(isblank(B1713),,split(B1713,""-""))"),"")</f>
        <v/>
      </c>
    </row>
    <row r="1714">
      <c r="A1714" s="132"/>
      <c r="B1714" s="41"/>
      <c r="C1714" s="9"/>
      <c r="D1714" s="133"/>
      <c r="E1714" s="133"/>
      <c r="F1714" s="24"/>
      <c r="G1714" s="24"/>
      <c r="I1714" s="13" t="str">
        <f>IFERROR(__xludf.DUMMYFUNCTION("if(isblank(A1714),,split(A1714,""-""))"),"")</f>
        <v/>
      </c>
      <c r="K1714" s="13" t="str">
        <f>IFERROR(__xludf.DUMMYFUNCTION("if(isblank(B1714),,split(B1714,""-""))"),"")</f>
        <v/>
      </c>
    </row>
    <row r="1715">
      <c r="A1715" s="132"/>
      <c r="B1715" s="41"/>
      <c r="C1715" s="9"/>
      <c r="D1715" s="133"/>
      <c r="E1715" s="133"/>
      <c r="F1715" s="24"/>
      <c r="G1715" s="24"/>
      <c r="I1715" s="13" t="str">
        <f>IFERROR(__xludf.DUMMYFUNCTION("if(isblank(A1715),,split(A1715,""-""))"),"")</f>
        <v/>
      </c>
      <c r="K1715" s="13" t="str">
        <f>IFERROR(__xludf.DUMMYFUNCTION("if(isblank(B1715),,split(B1715,""-""))"),"")</f>
        <v/>
      </c>
    </row>
    <row r="1716">
      <c r="A1716" s="132"/>
      <c r="B1716" s="41"/>
      <c r="C1716" s="9"/>
      <c r="D1716" s="133"/>
      <c r="E1716" s="133"/>
      <c r="F1716" s="24"/>
      <c r="G1716" s="24"/>
      <c r="I1716" s="13" t="str">
        <f>IFERROR(__xludf.DUMMYFUNCTION("if(isblank(A1716),,split(A1716,""-""))"),"")</f>
        <v/>
      </c>
      <c r="K1716" s="13" t="str">
        <f>IFERROR(__xludf.DUMMYFUNCTION("if(isblank(B1716),,split(B1716,""-""))"),"")</f>
        <v/>
      </c>
    </row>
    <row r="1717">
      <c r="A1717" s="132"/>
      <c r="B1717" s="41"/>
      <c r="C1717" s="9"/>
      <c r="D1717" s="133"/>
      <c r="E1717" s="133"/>
      <c r="F1717" s="24"/>
      <c r="G1717" s="24"/>
      <c r="I1717" s="13" t="str">
        <f>IFERROR(__xludf.DUMMYFUNCTION("if(isblank(A1717),,split(A1717,""-""))"),"")</f>
        <v/>
      </c>
      <c r="K1717" s="13" t="str">
        <f>IFERROR(__xludf.DUMMYFUNCTION("if(isblank(B1717),,split(B1717,""-""))"),"")</f>
        <v/>
      </c>
    </row>
    <row r="1718">
      <c r="A1718" s="132"/>
      <c r="B1718" s="41"/>
      <c r="C1718" s="9"/>
      <c r="D1718" s="133"/>
      <c r="E1718" s="133"/>
      <c r="F1718" s="24"/>
      <c r="G1718" s="24"/>
      <c r="I1718" s="13" t="str">
        <f>IFERROR(__xludf.DUMMYFUNCTION("if(isblank(A1718),,split(A1718,""-""))"),"")</f>
        <v/>
      </c>
      <c r="K1718" s="13" t="str">
        <f>IFERROR(__xludf.DUMMYFUNCTION("if(isblank(B1718),,split(B1718,""-""))"),"")</f>
        <v/>
      </c>
    </row>
    <row r="1719">
      <c r="A1719" s="132"/>
      <c r="B1719" s="41"/>
      <c r="C1719" s="9"/>
      <c r="D1719" s="133"/>
      <c r="E1719" s="133"/>
      <c r="F1719" s="24"/>
      <c r="G1719" s="24"/>
      <c r="I1719" s="13" t="str">
        <f>IFERROR(__xludf.DUMMYFUNCTION("if(isblank(A1719),,split(A1719,""-""))"),"")</f>
        <v/>
      </c>
      <c r="K1719" s="13" t="str">
        <f>IFERROR(__xludf.DUMMYFUNCTION("if(isblank(B1719),,split(B1719,""-""))"),"")</f>
        <v/>
      </c>
    </row>
    <row r="1720">
      <c r="A1720" s="132"/>
      <c r="B1720" s="41"/>
      <c r="C1720" s="9"/>
      <c r="D1720" s="133"/>
      <c r="E1720" s="133"/>
      <c r="F1720" s="24"/>
      <c r="G1720" s="24"/>
      <c r="I1720" s="13" t="str">
        <f>IFERROR(__xludf.DUMMYFUNCTION("if(isblank(A1720),,split(A1720,""-""))"),"")</f>
        <v/>
      </c>
      <c r="K1720" s="13" t="str">
        <f>IFERROR(__xludf.DUMMYFUNCTION("if(isblank(B1720),,split(B1720,""-""))"),"")</f>
        <v/>
      </c>
    </row>
    <row r="1721">
      <c r="A1721" s="132"/>
      <c r="B1721" s="41"/>
      <c r="C1721" s="9"/>
      <c r="D1721" s="133"/>
      <c r="E1721" s="133"/>
      <c r="F1721" s="24"/>
      <c r="G1721" s="24"/>
      <c r="I1721" s="13" t="str">
        <f>IFERROR(__xludf.DUMMYFUNCTION("if(isblank(A1721),,split(A1721,""-""))"),"")</f>
        <v/>
      </c>
      <c r="K1721" s="13" t="str">
        <f>IFERROR(__xludf.DUMMYFUNCTION("if(isblank(B1721),,split(B1721,""-""))"),"")</f>
        <v/>
      </c>
    </row>
    <row r="1722">
      <c r="A1722" s="132"/>
      <c r="B1722" s="41"/>
      <c r="C1722" s="9"/>
      <c r="D1722" s="133"/>
      <c r="E1722" s="133"/>
      <c r="F1722" s="24"/>
      <c r="G1722" s="24"/>
      <c r="I1722" s="13" t="str">
        <f>IFERROR(__xludf.DUMMYFUNCTION("if(isblank(A1722),,split(A1722,""-""))"),"")</f>
        <v/>
      </c>
      <c r="K1722" s="13" t="str">
        <f>IFERROR(__xludf.DUMMYFUNCTION("if(isblank(B1722),,split(B1722,""-""))"),"")</f>
        <v/>
      </c>
    </row>
    <row r="1723">
      <c r="A1723" s="132"/>
      <c r="B1723" s="41"/>
      <c r="C1723" s="9"/>
      <c r="D1723" s="133"/>
      <c r="E1723" s="133"/>
      <c r="F1723" s="24"/>
      <c r="G1723" s="24"/>
      <c r="I1723" s="13" t="str">
        <f>IFERROR(__xludf.DUMMYFUNCTION("if(isblank(A1723),,split(A1723,""-""))"),"")</f>
        <v/>
      </c>
      <c r="K1723" s="13" t="str">
        <f>IFERROR(__xludf.DUMMYFUNCTION("if(isblank(B1723),,split(B1723,""-""))"),"")</f>
        <v/>
      </c>
    </row>
    <row r="1724">
      <c r="A1724" s="132"/>
      <c r="B1724" s="41"/>
      <c r="C1724" s="9"/>
      <c r="D1724" s="133"/>
      <c r="E1724" s="133"/>
      <c r="F1724" s="24"/>
      <c r="G1724" s="24"/>
      <c r="I1724" s="13" t="str">
        <f>IFERROR(__xludf.DUMMYFUNCTION("if(isblank(A1724),,split(A1724,""-""))"),"")</f>
        <v/>
      </c>
      <c r="K1724" s="13" t="str">
        <f>IFERROR(__xludf.DUMMYFUNCTION("if(isblank(B1724),,split(B1724,""-""))"),"")</f>
        <v/>
      </c>
    </row>
    <row r="1725">
      <c r="A1725" s="132"/>
      <c r="B1725" s="41"/>
      <c r="C1725" s="9"/>
      <c r="D1725" s="133"/>
      <c r="E1725" s="133"/>
      <c r="F1725" s="24"/>
      <c r="G1725" s="24"/>
      <c r="I1725" s="13" t="str">
        <f>IFERROR(__xludf.DUMMYFUNCTION("if(isblank(A1725),,split(A1725,""-""))"),"")</f>
        <v/>
      </c>
      <c r="K1725" s="13" t="str">
        <f>IFERROR(__xludf.DUMMYFUNCTION("if(isblank(B1725),,split(B1725,""-""))"),"")</f>
        <v/>
      </c>
    </row>
    <row r="1726">
      <c r="A1726" s="132"/>
      <c r="B1726" s="41"/>
      <c r="C1726" s="9"/>
      <c r="D1726" s="133"/>
      <c r="E1726" s="133"/>
      <c r="F1726" s="24"/>
      <c r="G1726" s="24"/>
      <c r="I1726" s="13" t="str">
        <f>IFERROR(__xludf.DUMMYFUNCTION("if(isblank(A1726),,split(A1726,""-""))"),"")</f>
        <v/>
      </c>
      <c r="K1726" s="13" t="str">
        <f>IFERROR(__xludf.DUMMYFUNCTION("if(isblank(B1726),,split(B1726,""-""))"),"")</f>
        <v/>
      </c>
    </row>
    <row r="1727">
      <c r="A1727" s="132"/>
      <c r="B1727" s="41"/>
      <c r="C1727" s="9"/>
      <c r="D1727" s="133"/>
      <c r="E1727" s="133"/>
      <c r="F1727" s="24"/>
      <c r="G1727" s="24"/>
      <c r="I1727" s="13" t="str">
        <f>IFERROR(__xludf.DUMMYFUNCTION("if(isblank(A1727),,split(A1727,""-""))"),"")</f>
        <v/>
      </c>
      <c r="K1727" s="13" t="str">
        <f>IFERROR(__xludf.DUMMYFUNCTION("if(isblank(B1727),,split(B1727,""-""))"),"")</f>
        <v/>
      </c>
    </row>
    <row r="1728">
      <c r="A1728" s="132"/>
      <c r="B1728" s="41"/>
      <c r="C1728" s="9"/>
      <c r="D1728" s="133"/>
      <c r="E1728" s="133"/>
      <c r="F1728" s="24"/>
      <c r="G1728" s="24"/>
      <c r="I1728" s="13" t="str">
        <f>IFERROR(__xludf.DUMMYFUNCTION("if(isblank(A1728),,split(A1728,""-""))"),"")</f>
        <v/>
      </c>
      <c r="K1728" s="13" t="str">
        <f>IFERROR(__xludf.DUMMYFUNCTION("if(isblank(B1728),,split(B1728,""-""))"),"")</f>
        <v/>
      </c>
    </row>
    <row r="1729">
      <c r="A1729" s="132"/>
      <c r="B1729" s="41"/>
      <c r="C1729" s="9"/>
      <c r="D1729" s="133"/>
      <c r="E1729" s="133"/>
      <c r="F1729" s="24"/>
      <c r="G1729" s="24"/>
      <c r="I1729" s="13" t="str">
        <f>IFERROR(__xludf.DUMMYFUNCTION("if(isblank(A1729),,split(A1729,""-""))"),"")</f>
        <v/>
      </c>
      <c r="K1729" s="13" t="str">
        <f>IFERROR(__xludf.DUMMYFUNCTION("if(isblank(B1729),,split(B1729,""-""))"),"")</f>
        <v/>
      </c>
    </row>
    <row r="1730">
      <c r="A1730" s="132"/>
      <c r="B1730" s="41"/>
      <c r="C1730" s="9"/>
      <c r="D1730" s="133"/>
      <c r="E1730" s="133"/>
      <c r="F1730" s="24"/>
      <c r="G1730" s="24"/>
      <c r="I1730" s="13" t="str">
        <f>IFERROR(__xludf.DUMMYFUNCTION("if(isblank(A1730),,split(A1730,""-""))"),"")</f>
        <v/>
      </c>
      <c r="K1730" s="13" t="str">
        <f>IFERROR(__xludf.DUMMYFUNCTION("if(isblank(B1730),,split(B1730,""-""))"),"")</f>
        <v/>
      </c>
    </row>
    <row r="1731">
      <c r="A1731" s="132"/>
      <c r="B1731" s="41"/>
      <c r="C1731" s="9"/>
      <c r="D1731" s="133"/>
      <c r="E1731" s="133"/>
      <c r="F1731" s="24"/>
      <c r="G1731" s="24"/>
      <c r="I1731" s="13" t="str">
        <f>IFERROR(__xludf.DUMMYFUNCTION("if(isblank(A1731),,split(A1731,""-""))"),"")</f>
        <v/>
      </c>
      <c r="K1731" s="13" t="str">
        <f>IFERROR(__xludf.DUMMYFUNCTION("if(isblank(B1731),,split(B1731,""-""))"),"")</f>
        <v/>
      </c>
    </row>
    <row r="1732">
      <c r="A1732" s="132"/>
      <c r="B1732" s="41"/>
      <c r="C1732" s="9"/>
      <c r="D1732" s="133"/>
      <c r="E1732" s="133"/>
      <c r="F1732" s="24"/>
      <c r="G1732" s="24"/>
      <c r="I1732" s="13" t="str">
        <f>IFERROR(__xludf.DUMMYFUNCTION("if(isblank(A1732),,split(A1732,""-""))"),"")</f>
        <v/>
      </c>
      <c r="K1732" s="13" t="str">
        <f>IFERROR(__xludf.DUMMYFUNCTION("if(isblank(B1732),,split(B1732,""-""))"),"")</f>
        <v/>
      </c>
    </row>
    <row r="1733">
      <c r="A1733" s="132"/>
      <c r="B1733" s="41"/>
      <c r="C1733" s="9"/>
      <c r="D1733" s="133"/>
      <c r="E1733" s="133"/>
      <c r="F1733" s="24"/>
      <c r="G1733" s="24"/>
      <c r="I1733" s="13" t="str">
        <f>IFERROR(__xludf.DUMMYFUNCTION("if(isblank(A1733),,split(A1733,""-""))"),"")</f>
        <v/>
      </c>
      <c r="K1733" s="13" t="str">
        <f>IFERROR(__xludf.DUMMYFUNCTION("if(isblank(B1733),,split(B1733,""-""))"),"")</f>
        <v/>
      </c>
    </row>
    <row r="1734">
      <c r="A1734" s="132"/>
      <c r="B1734" s="41"/>
      <c r="C1734" s="9"/>
      <c r="D1734" s="133"/>
      <c r="E1734" s="133"/>
      <c r="F1734" s="24"/>
      <c r="G1734" s="24"/>
      <c r="I1734" s="13" t="str">
        <f>IFERROR(__xludf.DUMMYFUNCTION("if(isblank(A1734),,split(A1734,""-""))"),"")</f>
        <v/>
      </c>
      <c r="K1734" s="13" t="str">
        <f>IFERROR(__xludf.DUMMYFUNCTION("if(isblank(B1734),,split(B1734,""-""))"),"")</f>
        <v/>
      </c>
    </row>
    <row r="1735">
      <c r="A1735" s="132"/>
      <c r="B1735" s="41"/>
      <c r="C1735" s="9"/>
      <c r="D1735" s="133"/>
      <c r="E1735" s="133"/>
      <c r="F1735" s="24"/>
      <c r="G1735" s="24"/>
      <c r="I1735" s="13" t="str">
        <f>IFERROR(__xludf.DUMMYFUNCTION("if(isblank(A1735),,split(A1735,""-""))"),"")</f>
        <v/>
      </c>
      <c r="K1735" s="13" t="str">
        <f>IFERROR(__xludf.DUMMYFUNCTION("if(isblank(B1735),,split(B1735,""-""))"),"")</f>
        <v/>
      </c>
    </row>
    <row r="1736">
      <c r="A1736" s="132"/>
      <c r="B1736" s="41"/>
      <c r="C1736" s="9"/>
      <c r="D1736" s="133"/>
      <c r="E1736" s="133"/>
      <c r="F1736" s="24"/>
      <c r="G1736" s="24"/>
      <c r="I1736" s="13" t="str">
        <f>IFERROR(__xludf.DUMMYFUNCTION("if(isblank(A1736),,split(A1736,""-""))"),"")</f>
        <v/>
      </c>
      <c r="K1736" s="13" t="str">
        <f>IFERROR(__xludf.DUMMYFUNCTION("if(isblank(B1736),,split(B1736,""-""))"),"")</f>
        <v/>
      </c>
    </row>
    <row r="1737">
      <c r="A1737" s="132"/>
      <c r="B1737" s="41"/>
      <c r="C1737" s="9"/>
      <c r="D1737" s="133"/>
      <c r="E1737" s="133"/>
      <c r="F1737" s="24"/>
      <c r="G1737" s="24"/>
      <c r="I1737" s="13" t="str">
        <f>IFERROR(__xludf.DUMMYFUNCTION("if(isblank(A1737),,split(A1737,""-""))"),"")</f>
        <v/>
      </c>
      <c r="K1737" s="13" t="str">
        <f>IFERROR(__xludf.DUMMYFUNCTION("if(isblank(B1737),,split(B1737,""-""))"),"")</f>
        <v/>
      </c>
    </row>
    <row r="1738">
      <c r="A1738" s="132"/>
      <c r="B1738" s="41"/>
      <c r="C1738" s="9"/>
      <c r="D1738" s="133"/>
      <c r="E1738" s="133"/>
      <c r="F1738" s="24"/>
      <c r="G1738" s="24"/>
      <c r="I1738" s="13" t="str">
        <f>IFERROR(__xludf.DUMMYFUNCTION("if(isblank(A1738),,split(A1738,""-""))"),"")</f>
        <v/>
      </c>
      <c r="K1738" s="13" t="str">
        <f>IFERROR(__xludf.DUMMYFUNCTION("if(isblank(B1738),,split(B1738,""-""))"),"")</f>
        <v/>
      </c>
    </row>
    <row r="1739">
      <c r="A1739" s="132"/>
      <c r="B1739" s="41"/>
      <c r="C1739" s="9"/>
      <c r="D1739" s="133"/>
      <c r="E1739" s="133"/>
      <c r="F1739" s="24"/>
      <c r="G1739" s="24"/>
      <c r="I1739" s="13" t="str">
        <f>IFERROR(__xludf.DUMMYFUNCTION("if(isblank(A1739),,split(A1739,""-""))"),"")</f>
        <v/>
      </c>
      <c r="K1739" s="13" t="str">
        <f>IFERROR(__xludf.DUMMYFUNCTION("if(isblank(B1739),,split(B1739,""-""))"),"")</f>
        <v/>
      </c>
    </row>
    <row r="1740">
      <c r="A1740" s="132"/>
      <c r="B1740" s="41"/>
      <c r="C1740" s="9"/>
      <c r="D1740" s="133"/>
      <c r="E1740" s="133"/>
      <c r="F1740" s="24"/>
      <c r="G1740" s="24"/>
      <c r="I1740" s="13" t="str">
        <f>IFERROR(__xludf.DUMMYFUNCTION("if(isblank(A1740),,split(A1740,""-""))"),"")</f>
        <v/>
      </c>
      <c r="K1740" s="13" t="str">
        <f>IFERROR(__xludf.DUMMYFUNCTION("if(isblank(B1740),,split(B1740,""-""))"),"")</f>
        <v/>
      </c>
    </row>
    <row r="1741">
      <c r="A1741" s="132"/>
      <c r="B1741" s="41"/>
      <c r="C1741" s="9"/>
      <c r="D1741" s="133"/>
      <c r="E1741" s="133"/>
      <c r="F1741" s="24"/>
      <c r="G1741" s="24"/>
      <c r="I1741" s="13" t="str">
        <f>IFERROR(__xludf.DUMMYFUNCTION("if(isblank(A1741),,split(A1741,""-""))"),"")</f>
        <v/>
      </c>
      <c r="K1741" s="13" t="str">
        <f>IFERROR(__xludf.DUMMYFUNCTION("if(isblank(B1741),,split(B1741,""-""))"),"")</f>
        <v/>
      </c>
    </row>
    <row r="1742">
      <c r="A1742" s="132"/>
      <c r="B1742" s="41"/>
      <c r="C1742" s="9"/>
      <c r="D1742" s="133"/>
      <c r="E1742" s="133"/>
      <c r="F1742" s="24"/>
      <c r="G1742" s="24"/>
      <c r="I1742" s="13" t="str">
        <f>IFERROR(__xludf.DUMMYFUNCTION("if(isblank(A1742),,split(A1742,""-""))"),"")</f>
        <v/>
      </c>
      <c r="K1742" s="13" t="str">
        <f>IFERROR(__xludf.DUMMYFUNCTION("if(isblank(B1742),,split(B1742,""-""))"),"")</f>
        <v/>
      </c>
    </row>
    <row r="1743">
      <c r="A1743" s="132"/>
      <c r="B1743" s="41"/>
      <c r="C1743" s="9"/>
      <c r="D1743" s="133"/>
      <c r="E1743" s="133"/>
      <c r="F1743" s="24"/>
      <c r="G1743" s="24"/>
      <c r="I1743" s="13" t="str">
        <f>IFERROR(__xludf.DUMMYFUNCTION("if(isblank(A1743),,split(A1743,""-""))"),"")</f>
        <v/>
      </c>
      <c r="K1743" s="13" t="str">
        <f>IFERROR(__xludf.DUMMYFUNCTION("if(isblank(B1743),,split(B1743,""-""))"),"")</f>
        <v/>
      </c>
    </row>
    <row r="1744">
      <c r="A1744" s="132"/>
      <c r="B1744" s="41"/>
      <c r="C1744" s="9"/>
      <c r="D1744" s="133"/>
      <c r="E1744" s="133"/>
      <c r="F1744" s="24"/>
      <c r="G1744" s="24"/>
      <c r="I1744" s="13" t="str">
        <f>IFERROR(__xludf.DUMMYFUNCTION("if(isblank(A1744),,split(A1744,""-""))"),"")</f>
        <v/>
      </c>
      <c r="K1744" s="13" t="str">
        <f>IFERROR(__xludf.DUMMYFUNCTION("if(isblank(B1744),,split(B1744,""-""))"),"")</f>
        <v/>
      </c>
    </row>
    <row r="1745">
      <c r="A1745" s="132"/>
      <c r="B1745" s="41"/>
      <c r="C1745" s="9"/>
      <c r="D1745" s="133"/>
      <c r="E1745" s="133"/>
      <c r="F1745" s="24"/>
      <c r="G1745" s="24"/>
      <c r="I1745" s="13" t="str">
        <f>IFERROR(__xludf.DUMMYFUNCTION("if(isblank(A1745),,split(A1745,""-""))"),"")</f>
        <v/>
      </c>
      <c r="K1745" s="13" t="str">
        <f>IFERROR(__xludf.DUMMYFUNCTION("if(isblank(B1745),,split(B1745,""-""))"),"")</f>
        <v/>
      </c>
    </row>
    <row r="1746">
      <c r="A1746" s="132"/>
      <c r="B1746" s="41"/>
      <c r="C1746" s="9"/>
      <c r="D1746" s="133"/>
      <c r="E1746" s="133"/>
      <c r="F1746" s="24"/>
      <c r="G1746" s="24"/>
      <c r="I1746" s="13" t="str">
        <f>IFERROR(__xludf.DUMMYFUNCTION("if(isblank(A1746),,split(A1746,""-""))"),"")</f>
        <v/>
      </c>
      <c r="K1746" s="13" t="str">
        <f>IFERROR(__xludf.DUMMYFUNCTION("if(isblank(B1746),,split(B1746,""-""))"),"")</f>
        <v/>
      </c>
    </row>
    <row r="1747">
      <c r="A1747" s="132"/>
      <c r="B1747" s="41"/>
      <c r="C1747" s="9"/>
      <c r="D1747" s="133"/>
      <c r="E1747" s="133"/>
      <c r="F1747" s="24"/>
      <c r="G1747" s="24"/>
      <c r="I1747" s="13" t="str">
        <f>IFERROR(__xludf.DUMMYFUNCTION("if(isblank(A1747),,split(A1747,""-""))"),"")</f>
        <v/>
      </c>
      <c r="K1747" s="13" t="str">
        <f>IFERROR(__xludf.DUMMYFUNCTION("if(isblank(B1747),,split(B1747,""-""))"),"")</f>
        <v/>
      </c>
    </row>
    <row r="1748">
      <c r="A1748" s="132"/>
      <c r="B1748" s="41"/>
      <c r="C1748" s="9"/>
      <c r="D1748" s="133"/>
      <c r="E1748" s="133"/>
      <c r="F1748" s="24"/>
      <c r="G1748" s="24"/>
      <c r="I1748" s="13" t="str">
        <f>IFERROR(__xludf.DUMMYFUNCTION("if(isblank(A1748),,split(A1748,""-""))"),"")</f>
        <v/>
      </c>
      <c r="K1748" s="13" t="str">
        <f>IFERROR(__xludf.DUMMYFUNCTION("if(isblank(B1748),,split(B1748,""-""))"),"")</f>
        <v/>
      </c>
    </row>
    <row r="1749">
      <c r="A1749" s="132"/>
      <c r="B1749" s="41"/>
      <c r="C1749" s="9"/>
      <c r="D1749" s="133"/>
      <c r="E1749" s="133"/>
      <c r="F1749" s="24"/>
      <c r="G1749" s="24"/>
      <c r="I1749" s="13" t="str">
        <f>IFERROR(__xludf.DUMMYFUNCTION("if(isblank(A1749),,split(A1749,""-""))"),"")</f>
        <v/>
      </c>
      <c r="K1749" s="13" t="str">
        <f>IFERROR(__xludf.DUMMYFUNCTION("if(isblank(B1749),,split(B1749,""-""))"),"")</f>
        <v/>
      </c>
    </row>
    <row r="1750">
      <c r="A1750" s="132"/>
      <c r="B1750" s="41"/>
      <c r="C1750" s="9"/>
      <c r="D1750" s="133"/>
      <c r="E1750" s="133"/>
      <c r="F1750" s="24"/>
      <c r="G1750" s="24"/>
      <c r="I1750" s="13" t="str">
        <f>IFERROR(__xludf.DUMMYFUNCTION("if(isblank(A1750),,split(A1750,""-""))"),"")</f>
        <v/>
      </c>
      <c r="K1750" s="13" t="str">
        <f>IFERROR(__xludf.DUMMYFUNCTION("if(isblank(B1750),,split(B1750,""-""))"),"")</f>
        <v/>
      </c>
    </row>
    <row r="1751">
      <c r="A1751" s="132"/>
      <c r="B1751" s="41"/>
      <c r="C1751" s="9"/>
      <c r="D1751" s="133"/>
      <c r="E1751" s="133"/>
      <c r="F1751" s="24"/>
      <c r="G1751" s="24"/>
      <c r="I1751" s="13" t="str">
        <f>IFERROR(__xludf.DUMMYFUNCTION("if(isblank(A1751),,split(A1751,""-""))"),"")</f>
        <v/>
      </c>
      <c r="K1751" s="13" t="str">
        <f>IFERROR(__xludf.DUMMYFUNCTION("if(isblank(B1751),,split(B1751,""-""))"),"")</f>
        <v/>
      </c>
    </row>
    <row r="1752">
      <c r="A1752" s="132"/>
      <c r="B1752" s="41"/>
      <c r="C1752" s="9"/>
      <c r="D1752" s="133"/>
      <c r="E1752" s="133"/>
      <c r="F1752" s="24"/>
      <c r="G1752" s="24"/>
      <c r="I1752" s="13" t="str">
        <f>IFERROR(__xludf.DUMMYFUNCTION("if(isblank(A1752),,split(A1752,""-""))"),"")</f>
        <v/>
      </c>
      <c r="K1752" s="13" t="str">
        <f>IFERROR(__xludf.DUMMYFUNCTION("if(isblank(B1752),,split(B1752,""-""))"),"")</f>
        <v/>
      </c>
    </row>
    <row r="1753">
      <c r="A1753" s="132"/>
      <c r="B1753" s="41"/>
      <c r="C1753" s="9"/>
      <c r="D1753" s="133"/>
      <c r="E1753" s="133"/>
      <c r="F1753" s="24"/>
      <c r="G1753" s="24"/>
      <c r="I1753" s="13" t="str">
        <f>IFERROR(__xludf.DUMMYFUNCTION("if(isblank(A1753),,split(A1753,""-""))"),"")</f>
        <v/>
      </c>
      <c r="K1753" s="13" t="str">
        <f>IFERROR(__xludf.DUMMYFUNCTION("if(isblank(B1753),,split(B1753,""-""))"),"")</f>
        <v/>
      </c>
    </row>
    <row r="1754">
      <c r="A1754" s="132"/>
      <c r="B1754" s="41"/>
      <c r="C1754" s="9"/>
      <c r="D1754" s="133"/>
      <c r="E1754" s="133"/>
      <c r="F1754" s="24"/>
      <c r="G1754" s="24"/>
      <c r="I1754" s="13" t="str">
        <f>IFERROR(__xludf.DUMMYFUNCTION("if(isblank(A1754),,split(A1754,""-""))"),"")</f>
        <v/>
      </c>
      <c r="K1754" s="13" t="str">
        <f>IFERROR(__xludf.DUMMYFUNCTION("if(isblank(B1754),,split(B1754,""-""))"),"")</f>
        <v/>
      </c>
    </row>
    <row r="1755">
      <c r="A1755" s="132"/>
      <c r="B1755" s="41"/>
      <c r="C1755" s="9"/>
      <c r="D1755" s="133"/>
      <c r="E1755" s="133"/>
      <c r="F1755" s="24"/>
      <c r="G1755" s="24"/>
      <c r="I1755" s="13" t="str">
        <f>IFERROR(__xludf.DUMMYFUNCTION("if(isblank(A1755),,split(A1755,""-""))"),"")</f>
        <v/>
      </c>
      <c r="K1755" s="13" t="str">
        <f>IFERROR(__xludf.DUMMYFUNCTION("if(isblank(B1755),,split(B1755,""-""))"),"")</f>
        <v/>
      </c>
    </row>
    <row r="1756">
      <c r="A1756" s="132"/>
      <c r="B1756" s="41"/>
      <c r="C1756" s="9"/>
      <c r="D1756" s="133"/>
      <c r="E1756" s="133"/>
      <c r="F1756" s="24"/>
      <c r="G1756" s="24"/>
      <c r="I1756" s="13" t="str">
        <f>IFERROR(__xludf.DUMMYFUNCTION("if(isblank(A1756),,split(A1756,""-""))"),"")</f>
        <v/>
      </c>
      <c r="K1756" s="13" t="str">
        <f>IFERROR(__xludf.DUMMYFUNCTION("if(isblank(B1756),,split(B1756,""-""))"),"")</f>
        <v/>
      </c>
    </row>
    <row r="1757">
      <c r="A1757" s="132"/>
      <c r="B1757" s="41"/>
      <c r="C1757" s="9"/>
      <c r="D1757" s="133"/>
      <c r="E1757" s="133"/>
      <c r="F1757" s="24"/>
      <c r="G1757" s="24"/>
      <c r="I1757" s="13" t="str">
        <f>IFERROR(__xludf.DUMMYFUNCTION("if(isblank(A1757),,split(A1757,""-""))"),"")</f>
        <v/>
      </c>
      <c r="K1757" s="13" t="str">
        <f>IFERROR(__xludf.DUMMYFUNCTION("if(isblank(B1757),,split(B1757,""-""))"),"")</f>
        <v/>
      </c>
    </row>
    <row r="1758">
      <c r="A1758" s="132"/>
      <c r="B1758" s="41"/>
      <c r="C1758" s="9"/>
      <c r="D1758" s="133"/>
      <c r="E1758" s="133"/>
      <c r="F1758" s="24"/>
      <c r="G1758" s="24"/>
      <c r="I1758" s="13" t="str">
        <f>IFERROR(__xludf.DUMMYFUNCTION("if(isblank(A1758),,split(A1758,""-""))"),"")</f>
        <v/>
      </c>
      <c r="K1758" s="13" t="str">
        <f>IFERROR(__xludf.DUMMYFUNCTION("if(isblank(B1758),,split(B1758,""-""))"),"")</f>
        <v/>
      </c>
    </row>
    <row r="1759">
      <c r="A1759" s="132"/>
      <c r="B1759" s="41"/>
      <c r="C1759" s="9"/>
      <c r="D1759" s="133"/>
      <c r="E1759" s="133"/>
      <c r="F1759" s="24"/>
      <c r="G1759" s="24"/>
      <c r="I1759" s="13" t="str">
        <f>IFERROR(__xludf.DUMMYFUNCTION("if(isblank(A1759),,split(A1759,""-""))"),"")</f>
        <v/>
      </c>
      <c r="K1759" s="13" t="str">
        <f>IFERROR(__xludf.DUMMYFUNCTION("if(isblank(B1759),,split(B1759,""-""))"),"")</f>
        <v/>
      </c>
    </row>
    <row r="1760">
      <c r="A1760" s="132"/>
      <c r="B1760" s="41"/>
      <c r="C1760" s="9"/>
      <c r="D1760" s="133"/>
      <c r="E1760" s="133"/>
      <c r="F1760" s="24"/>
      <c r="G1760" s="24"/>
      <c r="I1760" s="13" t="str">
        <f>IFERROR(__xludf.DUMMYFUNCTION("if(isblank(A1760),,split(A1760,""-""))"),"")</f>
        <v/>
      </c>
      <c r="K1760" s="13" t="str">
        <f>IFERROR(__xludf.DUMMYFUNCTION("if(isblank(B1760),,split(B1760,""-""))"),"")</f>
        <v/>
      </c>
    </row>
    <row r="1761">
      <c r="A1761" s="132"/>
      <c r="B1761" s="41"/>
      <c r="C1761" s="9"/>
      <c r="D1761" s="133"/>
      <c r="E1761" s="133"/>
      <c r="F1761" s="24"/>
      <c r="G1761" s="24"/>
      <c r="I1761" s="13" t="str">
        <f>IFERROR(__xludf.DUMMYFUNCTION("if(isblank(A1761),,split(A1761,""-""))"),"")</f>
        <v/>
      </c>
      <c r="K1761" s="13" t="str">
        <f>IFERROR(__xludf.DUMMYFUNCTION("if(isblank(B1761),,split(B1761,""-""))"),"")</f>
        <v/>
      </c>
    </row>
    <row r="1762">
      <c r="A1762" s="132"/>
      <c r="B1762" s="41"/>
      <c r="C1762" s="9"/>
      <c r="D1762" s="133"/>
      <c r="E1762" s="133"/>
      <c r="F1762" s="24"/>
      <c r="G1762" s="24"/>
      <c r="I1762" s="13" t="str">
        <f>IFERROR(__xludf.DUMMYFUNCTION("if(isblank(A1762),,split(A1762,""-""))"),"")</f>
        <v/>
      </c>
      <c r="K1762" s="13" t="str">
        <f>IFERROR(__xludf.DUMMYFUNCTION("if(isblank(B1762),,split(B1762,""-""))"),"")</f>
        <v/>
      </c>
    </row>
    <row r="1763">
      <c r="A1763" s="132"/>
      <c r="B1763" s="41"/>
      <c r="C1763" s="9"/>
      <c r="D1763" s="133"/>
      <c r="E1763" s="133"/>
      <c r="F1763" s="24"/>
      <c r="G1763" s="24"/>
      <c r="I1763" s="13" t="str">
        <f>IFERROR(__xludf.DUMMYFUNCTION("if(isblank(A1763),,split(A1763,""-""))"),"")</f>
        <v/>
      </c>
      <c r="K1763" s="13" t="str">
        <f>IFERROR(__xludf.DUMMYFUNCTION("if(isblank(B1763),,split(B1763,""-""))"),"")</f>
        <v/>
      </c>
    </row>
    <row r="1764">
      <c r="A1764" s="132"/>
      <c r="B1764" s="41"/>
      <c r="C1764" s="9"/>
      <c r="D1764" s="133"/>
      <c r="E1764" s="133"/>
      <c r="F1764" s="24"/>
      <c r="G1764" s="24"/>
      <c r="I1764" s="13" t="str">
        <f>IFERROR(__xludf.DUMMYFUNCTION("if(isblank(A1764),,split(A1764,""-""))"),"")</f>
        <v/>
      </c>
      <c r="K1764" s="13" t="str">
        <f>IFERROR(__xludf.DUMMYFUNCTION("if(isblank(B1764),,split(B1764,""-""))"),"")</f>
        <v/>
      </c>
    </row>
    <row r="1765">
      <c r="A1765" s="132"/>
      <c r="B1765" s="41"/>
      <c r="C1765" s="9"/>
      <c r="D1765" s="133"/>
      <c r="E1765" s="133"/>
      <c r="F1765" s="24"/>
      <c r="G1765" s="24"/>
      <c r="I1765" s="13" t="str">
        <f>IFERROR(__xludf.DUMMYFUNCTION("if(isblank(A1765),,split(A1765,""-""))"),"")</f>
        <v/>
      </c>
      <c r="K1765" s="13" t="str">
        <f>IFERROR(__xludf.DUMMYFUNCTION("if(isblank(B1765),,split(B1765,""-""))"),"")</f>
        <v/>
      </c>
    </row>
    <row r="1766">
      <c r="A1766" s="132"/>
      <c r="B1766" s="41"/>
      <c r="C1766" s="9"/>
      <c r="D1766" s="133"/>
      <c r="E1766" s="133"/>
      <c r="F1766" s="24"/>
      <c r="G1766" s="24"/>
      <c r="I1766" s="13" t="str">
        <f>IFERROR(__xludf.DUMMYFUNCTION("if(isblank(A1766),,split(A1766,""-""))"),"")</f>
        <v/>
      </c>
      <c r="K1766" s="13" t="str">
        <f>IFERROR(__xludf.DUMMYFUNCTION("if(isblank(B1766),,split(B1766,""-""))"),"")</f>
        <v/>
      </c>
    </row>
    <row r="1767">
      <c r="A1767" s="132"/>
      <c r="B1767" s="41"/>
      <c r="C1767" s="9"/>
      <c r="D1767" s="133"/>
      <c r="E1767" s="133"/>
      <c r="F1767" s="24"/>
      <c r="G1767" s="24"/>
      <c r="I1767" s="13" t="str">
        <f>IFERROR(__xludf.DUMMYFUNCTION("if(isblank(A1767),,split(A1767,""-""))"),"")</f>
        <v/>
      </c>
      <c r="K1767" s="13" t="str">
        <f>IFERROR(__xludf.DUMMYFUNCTION("if(isblank(B1767),,split(B1767,""-""))"),"")</f>
        <v/>
      </c>
    </row>
    <row r="1768">
      <c r="A1768" s="132"/>
      <c r="B1768" s="41"/>
      <c r="C1768" s="9"/>
      <c r="D1768" s="133"/>
      <c r="E1768" s="133"/>
      <c r="F1768" s="24"/>
      <c r="G1768" s="24"/>
      <c r="I1768" s="13" t="str">
        <f>IFERROR(__xludf.DUMMYFUNCTION("if(isblank(A1768),,split(A1768,""-""))"),"")</f>
        <v/>
      </c>
      <c r="K1768" s="13" t="str">
        <f>IFERROR(__xludf.DUMMYFUNCTION("if(isblank(B1768),,split(B1768,""-""))"),"")</f>
        <v/>
      </c>
    </row>
    <row r="1769">
      <c r="A1769" s="132"/>
      <c r="B1769" s="41"/>
      <c r="C1769" s="9"/>
      <c r="D1769" s="133"/>
      <c r="E1769" s="133"/>
      <c r="F1769" s="24"/>
      <c r="G1769" s="24"/>
      <c r="I1769" s="13" t="str">
        <f>IFERROR(__xludf.DUMMYFUNCTION("if(isblank(A1769),,split(A1769,""-""))"),"")</f>
        <v/>
      </c>
      <c r="K1769" s="13" t="str">
        <f>IFERROR(__xludf.DUMMYFUNCTION("if(isblank(B1769),,split(B1769,""-""))"),"")</f>
        <v/>
      </c>
    </row>
    <row r="1770">
      <c r="A1770" s="132"/>
      <c r="B1770" s="41"/>
      <c r="C1770" s="9"/>
      <c r="D1770" s="133"/>
      <c r="E1770" s="133"/>
      <c r="F1770" s="24"/>
      <c r="G1770" s="24"/>
      <c r="I1770" s="13" t="str">
        <f>IFERROR(__xludf.DUMMYFUNCTION("if(isblank(A1770),,split(A1770,""-""))"),"")</f>
        <v/>
      </c>
      <c r="K1770" s="13" t="str">
        <f>IFERROR(__xludf.DUMMYFUNCTION("if(isblank(B1770),,split(B1770,""-""))"),"")</f>
        <v/>
      </c>
    </row>
    <row r="1771">
      <c r="A1771" s="132"/>
      <c r="B1771" s="41"/>
      <c r="C1771" s="9"/>
      <c r="D1771" s="133"/>
      <c r="E1771" s="133"/>
      <c r="F1771" s="24"/>
      <c r="G1771" s="24"/>
      <c r="I1771" s="13" t="str">
        <f>IFERROR(__xludf.DUMMYFUNCTION("if(isblank(A1771),,split(A1771,""-""))"),"")</f>
        <v/>
      </c>
      <c r="K1771" s="13" t="str">
        <f>IFERROR(__xludf.DUMMYFUNCTION("if(isblank(B1771),,split(B1771,""-""))"),"")</f>
        <v/>
      </c>
    </row>
    <row r="1772">
      <c r="A1772" s="132"/>
      <c r="B1772" s="41"/>
      <c r="C1772" s="9"/>
      <c r="D1772" s="133"/>
      <c r="E1772" s="133"/>
      <c r="F1772" s="24"/>
      <c r="G1772" s="24"/>
      <c r="I1772" s="13" t="str">
        <f>IFERROR(__xludf.DUMMYFUNCTION("if(isblank(A1772),,split(A1772,""-""))"),"")</f>
        <v/>
      </c>
      <c r="K1772" s="13" t="str">
        <f>IFERROR(__xludf.DUMMYFUNCTION("if(isblank(B1772),,split(B1772,""-""))"),"")</f>
        <v/>
      </c>
    </row>
    <row r="1773">
      <c r="A1773" s="132"/>
      <c r="B1773" s="41"/>
      <c r="C1773" s="9"/>
      <c r="D1773" s="133"/>
      <c r="E1773" s="133"/>
      <c r="F1773" s="24"/>
      <c r="G1773" s="24"/>
      <c r="I1773" s="13" t="str">
        <f>IFERROR(__xludf.DUMMYFUNCTION("if(isblank(A1773),,split(A1773,""-""))"),"")</f>
        <v/>
      </c>
      <c r="K1773" s="13" t="str">
        <f>IFERROR(__xludf.DUMMYFUNCTION("if(isblank(B1773),,split(B1773,""-""))"),"")</f>
        <v/>
      </c>
    </row>
    <row r="1774">
      <c r="A1774" s="132"/>
      <c r="B1774" s="41"/>
      <c r="C1774" s="9"/>
      <c r="D1774" s="133"/>
      <c r="E1774" s="133"/>
      <c r="F1774" s="24"/>
      <c r="G1774" s="24"/>
      <c r="I1774" s="13" t="str">
        <f>IFERROR(__xludf.DUMMYFUNCTION("if(isblank(A1774),,split(A1774,""-""))"),"")</f>
        <v/>
      </c>
      <c r="K1774" s="13" t="str">
        <f>IFERROR(__xludf.DUMMYFUNCTION("if(isblank(B1774),,split(B1774,""-""))"),"")</f>
        <v/>
      </c>
    </row>
    <row r="1775">
      <c r="A1775" s="132"/>
      <c r="B1775" s="41"/>
      <c r="C1775" s="9"/>
      <c r="D1775" s="133"/>
      <c r="E1775" s="133"/>
      <c r="F1775" s="24"/>
      <c r="G1775" s="24"/>
      <c r="I1775" s="13" t="str">
        <f>IFERROR(__xludf.DUMMYFUNCTION("if(isblank(A1775),,split(A1775,""-""))"),"")</f>
        <v/>
      </c>
      <c r="K1775" s="13" t="str">
        <f>IFERROR(__xludf.DUMMYFUNCTION("if(isblank(B1775),,split(B1775,""-""))"),"")</f>
        <v/>
      </c>
    </row>
    <row r="1776">
      <c r="A1776" s="132"/>
      <c r="B1776" s="41"/>
      <c r="C1776" s="9"/>
      <c r="D1776" s="133"/>
      <c r="E1776" s="133"/>
      <c r="F1776" s="24"/>
      <c r="G1776" s="24"/>
      <c r="I1776" s="13" t="str">
        <f>IFERROR(__xludf.DUMMYFUNCTION("if(isblank(A1776),,split(A1776,""-""))"),"")</f>
        <v/>
      </c>
      <c r="K1776" s="13" t="str">
        <f>IFERROR(__xludf.DUMMYFUNCTION("if(isblank(B1776),,split(B1776,""-""))"),"")</f>
        <v/>
      </c>
    </row>
    <row r="1777">
      <c r="A1777" s="132"/>
      <c r="B1777" s="41"/>
      <c r="C1777" s="9"/>
      <c r="D1777" s="133"/>
      <c r="E1777" s="133"/>
      <c r="F1777" s="24"/>
      <c r="G1777" s="24"/>
      <c r="I1777" s="13" t="str">
        <f>IFERROR(__xludf.DUMMYFUNCTION("if(isblank(A1777),,split(A1777,""-""))"),"")</f>
        <v/>
      </c>
      <c r="K1777" s="13" t="str">
        <f>IFERROR(__xludf.DUMMYFUNCTION("if(isblank(B1777),,split(B1777,""-""))"),"")</f>
        <v/>
      </c>
    </row>
    <row r="1778">
      <c r="A1778" s="132"/>
      <c r="B1778" s="41"/>
      <c r="C1778" s="9"/>
      <c r="D1778" s="133"/>
      <c r="E1778" s="133"/>
      <c r="F1778" s="24"/>
      <c r="G1778" s="24"/>
      <c r="I1778" s="13" t="str">
        <f>IFERROR(__xludf.DUMMYFUNCTION("if(isblank(A1778),,split(A1778,""-""))"),"")</f>
        <v/>
      </c>
      <c r="K1778" s="13" t="str">
        <f>IFERROR(__xludf.DUMMYFUNCTION("if(isblank(B1778),,split(B1778,""-""))"),"")</f>
        <v/>
      </c>
    </row>
    <row r="1779">
      <c r="A1779" s="132"/>
      <c r="B1779" s="41"/>
      <c r="C1779" s="9"/>
      <c r="D1779" s="133"/>
      <c r="E1779" s="133"/>
      <c r="F1779" s="24"/>
      <c r="G1779" s="24"/>
      <c r="I1779" s="13" t="str">
        <f>IFERROR(__xludf.DUMMYFUNCTION("if(isblank(A1779),,split(A1779,""-""))"),"")</f>
        <v/>
      </c>
      <c r="K1779" s="13" t="str">
        <f>IFERROR(__xludf.DUMMYFUNCTION("if(isblank(B1779),,split(B1779,""-""))"),"")</f>
        <v/>
      </c>
    </row>
    <row r="1780">
      <c r="A1780" s="132"/>
      <c r="B1780" s="41"/>
      <c r="C1780" s="9"/>
      <c r="D1780" s="133"/>
      <c r="E1780" s="133"/>
      <c r="F1780" s="24"/>
      <c r="G1780" s="24"/>
      <c r="I1780" s="13" t="str">
        <f>IFERROR(__xludf.DUMMYFUNCTION("if(isblank(A1780),,split(A1780,""-""))"),"")</f>
        <v/>
      </c>
      <c r="K1780" s="13" t="str">
        <f>IFERROR(__xludf.DUMMYFUNCTION("if(isblank(B1780),,split(B1780,""-""))"),"")</f>
        <v/>
      </c>
    </row>
    <row r="1781">
      <c r="A1781" s="132"/>
      <c r="B1781" s="41"/>
      <c r="C1781" s="9"/>
      <c r="D1781" s="133"/>
      <c r="E1781" s="133"/>
      <c r="F1781" s="24"/>
      <c r="G1781" s="24"/>
      <c r="I1781" s="13" t="str">
        <f>IFERROR(__xludf.DUMMYFUNCTION("if(isblank(A1781),,split(A1781,""-""))"),"")</f>
        <v/>
      </c>
      <c r="K1781" s="13" t="str">
        <f>IFERROR(__xludf.DUMMYFUNCTION("if(isblank(B1781),,split(B1781,""-""))"),"")</f>
        <v/>
      </c>
    </row>
    <row r="1782">
      <c r="A1782" s="132"/>
      <c r="B1782" s="41"/>
      <c r="C1782" s="9"/>
      <c r="D1782" s="133"/>
      <c r="E1782" s="133"/>
      <c r="F1782" s="24"/>
      <c r="G1782" s="24"/>
      <c r="I1782" s="13" t="str">
        <f>IFERROR(__xludf.DUMMYFUNCTION("if(isblank(A1782),,split(A1782,""-""))"),"")</f>
        <v/>
      </c>
      <c r="K1782" s="13" t="str">
        <f>IFERROR(__xludf.DUMMYFUNCTION("if(isblank(B1782),,split(B1782,""-""))"),"")</f>
        <v/>
      </c>
    </row>
    <row r="1783">
      <c r="A1783" s="132"/>
      <c r="B1783" s="41"/>
      <c r="C1783" s="9"/>
      <c r="D1783" s="133"/>
      <c r="E1783" s="133"/>
      <c r="F1783" s="24"/>
      <c r="G1783" s="24"/>
      <c r="I1783" s="13" t="str">
        <f>IFERROR(__xludf.DUMMYFUNCTION("if(isblank(A1783),,split(A1783,""-""))"),"")</f>
        <v/>
      </c>
      <c r="K1783" s="13" t="str">
        <f>IFERROR(__xludf.DUMMYFUNCTION("if(isblank(B1783),,split(B1783,""-""))"),"")</f>
        <v/>
      </c>
    </row>
    <row r="1784">
      <c r="A1784" s="132"/>
      <c r="B1784" s="41"/>
      <c r="C1784" s="9"/>
      <c r="D1784" s="133"/>
      <c r="E1784" s="133"/>
      <c r="F1784" s="24"/>
      <c r="G1784" s="24"/>
      <c r="I1784" s="13" t="str">
        <f>IFERROR(__xludf.DUMMYFUNCTION("if(isblank(A1784),,split(A1784,""-""))"),"")</f>
        <v/>
      </c>
      <c r="K1784" s="13" t="str">
        <f>IFERROR(__xludf.DUMMYFUNCTION("if(isblank(B1784),,split(B1784,""-""))"),"")</f>
        <v/>
      </c>
    </row>
    <row r="1785">
      <c r="A1785" s="132"/>
      <c r="B1785" s="41"/>
      <c r="C1785" s="9"/>
      <c r="D1785" s="133"/>
      <c r="E1785" s="133"/>
      <c r="F1785" s="24"/>
      <c r="G1785" s="24"/>
      <c r="I1785" s="13" t="str">
        <f>IFERROR(__xludf.DUMMYFUNCTION("if(isblank(A1785),,split(A1785,""-""))"),"")</f>
        <v/>
      </c>
      <c r="K1785" s="13" t="str">
        <f>IFERROR(__xludf.DUMMYFUNCTION("if(isblank(B1785),,split(B1785,""-""))"),"")</f>
        <v/>
      </c>
    </row>
    <row r="1786">
      <c r="A1786" s="132"/>
      <c r="B1786" s="41"/>
      <c r="C1786" s="9"/>
      <c r="D1786" s="133"/>
      <c r="E1786" s="133"/>
      <c r="F1786" s="24"/>
      <c r="G1786" s="24"/>
      <c r="I1786" s="13" t="str">
        <f>IFERROR(__xludf.DUMMYFUNCTION("if(isblank(A1786),,split(A1786,""-""))"),"")</f>
        <v/>
      </c>
      <c r="K1786" s="13" t="str">
        <f>IFERROR(__xludf.DUMMYFUNCTION("if(isblank(B1786),,split(B1786,""-""))"),"")</f>
        <v/>
      </c>
    </row>
    <row r="1787">
      <c r="A1787" s="132"/>
      <c r="B1787" s="41"/>
      <c r="C1787" s="9"/>
      <c r="D1787" s="133"/>
      <c r="E1787" s="133"/>
      <c r="F1787" s="24"/>
      <c r="G1787" s="24"/>
      <c r="I1787" s="13" t="str">
        <f>IFERROR(__xludf.DUMMYFUNCTION("if(isblank(A1787),,split(A1787,""-""))"),"")</f>
        <v/>
      </c>
      <c r="K1787" s="13" t="str">
        <f>IFERROR(__xludf.DUMMYFUNCTION("if(isblank(B1787),,split(B1787,""-""))"),"")</f>
        <v/>
      </c>
    </row>
    <row r="1788">
      <c r="A1788" s="132"/>
      <c r="B1788" s="41"/>
      <c r="C1788" s="9"/>
      <c r="D1788" s="133"/>
      <c r="E1788" s="133"/>
      <c r="F1788" s="24"/>
      <c r="G1788" s="24"/>
      <c r="I1788" s="13" t="str">
        <f>IFERROR(__xludf.DUMMYFUNCTION("if(isblank(A1788),,split(A1788,""-""))"),"")</f>
        <v/>
      </c>
      <c r="K1788" s="13" t="str">
        <f>IFERROR(__xludf.DUMMYFUNCTION("if(isblank(B1788),,split(B1788,""-""))"),"")</f>
        <v/>
      </c>
    </row>
    <row r="1789">
      <c r="A1789" s="132"/>
      <c r="B1789" s="41"/>
      <c r="C1789" s="9"/>
      <c r="D1789" s="133"/>
      <c r="E1789" s="133"/>
      <c r="F1789" s="24"/>
      <c r="G1789" s="24"/>
      <c r="I1789" s="13" t="str">
        <f>IFERROR(__xludf.DUMMYFUNCTION("if(isblank(A1789),,split(A1789,""-""))"),"")</f>
        <v/>
      </c>
      <c r="K1789" s="13" t="str">
        <f>IFERROR(__xludf.DUMMYFUNCTION("if(isblank(B1789),,split(B1789,""-""))"),"")</f>
        <v/>
      </c>
    </row>
    <row r="1790">
      <c r="A1790" s="132"/>
      <c r="B1790" s="41"/>
      <c r="C1790" s="9"/>
      <c r="D1790" s="133"/>
      <c r="E1790" s="133"/>
      <c r="F1790" s="24"/>
      <c r="G1790" s="24"/>
      <c r="I1790" s="13" t="str">
        <f>IFERROR(__xludf.DUMMYFUNCTION("if(isblank(A1790),,split(A1790,""-""))"),"")</f>
        <v/>
      </c>
      <c r="K1790" s="13" t="str">
        <f>IFERROR(__xludf.DUMMYFUNCTION("if(isblank(B1790),,split(B1790,""-""))"),"")</f>
        <v/>
      </c>
    </row>
    <row r="1791">
      <c r="A1791" s="132"/>
      <c r="B1791" s="41"/>
      <c r="C1791" s="9"/>
      <c r="D1791" s="133"/>
      <c r="E1791" s="133"/>
      <c r="F1791" s="24"/>
      <c r="G1791" s="24"/>
      <c r="I1791" s="13" t="str">
        <f>IFERROR(__xludf.DUMMYFUNCTION("if(isblank(A1791),,split(A1791,""-""))"),"")</f>
        <v/>
      </c>
      <c r="K1791" s="13" t="str">
        <f>IFERROR(__xludf.DUMMYFUNCTION("if(isblank(B1791),,split(B1791,""-""))"),"")</f>
        <v/>
      </c>
    </row>
    <row r="1792">
      <c r="A1792" s="132"/>
      <c r="B1792" s="41"/>
      <c r="C1792" s="9"/>
      <c r="D1792" s="133"/>
      <c r="E1792" s="133"/>
      <c r="F1792" s="24"/>
      <c r="G1792" s="24"/>
      <c r="I1792" s="13" t="str">
        <f>IFERROR(__xludf.DUMMYFUNCTION("if(isblank(A1792),,split(A1792,""-""))"),"")</f>
        <v/>
      </c>
      <c r="K1792" s="13" t="str">
        <f>IFERROR(__xludf.DUMMYFUNCTION("if(isblank(B1792),,split(B1792,""-""))"),"")</f>
        <v/>
      </c>
    </row>
    <row r="1793">
      <c r="A1793" s="132"/>
      <c r="B1793" s="41"/>
      <c r="C1793" s="9"/>
      <c r="D1793" s="133"/>
      <c r="E1793" s="133"/>
      <c r="F1793" s="24"/>
      <c r="G1793" s="24"/>
      <c r="I1793" s="13" t="str">
        <f>IFERROR(__xludf.DUMMYFUNCTION("if(isblank(A1793),,split(A1793,""-""))"),"")</f>
        <v/>
      </c>
      <c r="K1793" s="13" t="str">
        <f>IFERROR(__xludf.DUMMYFUNCTION("if(isblank(B1793),,split(B1793,""-""))"),"")</f>
        <v/>
      </c>
    </row>
    <row r="1794">
      <c r="A1794" s="132"/>
      <c r="B1794" s="41"/>
      <c r="C1794" s="9"/>
      <c r="D1794" s="133"/>
      <c r="E1794" s="133"/>
      <c r="F1794" s="24"/>
      <c r="G1794" s="24"/>
      <c r="I1794" s="13" t="str">
        <f>IFERROR(__xludf.DUMMYFUNCTION("if(isblank(A1794),,split(A1794,""-""))"),"")</f>
        <v/>
      </c>
      <c r="K1794" s="13" t="str">
        <f>IFERROR(__xludf.DUMMYFUNCTION("if(isblank(B1794),,split(B1794,""-""))"),"")</f>
        <v/>
      </c>
    </row>
    <row r="1795">
      <c r="A1795" s="132"/>
      <c r="B1795" s="41"/>
      <c r="C1795" s="9"/>
      <c r="D1795" s="133"/>
      <c r="E1795" s="133"/>
      <c r="F1795" s="24"/>
      <c r="G1795" s="24"/>
      <c r="I1795" s="13" t="str">
        <f>IFERROR(__xludf.DUMMYFUNCTION("if(isblank(A1795),,split(A1795,""-""))"),"")</f>
        <v/>
      </c>
      <c r="K1795" s="13" t="str">
        <f>IFERROR(__xludf.DUMMYFUNCTION("if(isblank(B1795),,split(B1795,""-""))"),"")</f>
        <v/>
      </c>
    </row>
    <row r="1796">
      <c r="A1796" s="132"/>
      <c r="B1796" s="41"/>
      <c r="C1796" s="9"/>
      <c r="D1796" s="133"/>
      <c r="E1796" s="133"/>
      <c r="F1796" s="24"/>
      <c r="G1796" s="24"/>
      <c r="I1796" s="13" t="str">
        <f>IFERROR(__xludf.DUMMYFUNCTION("if(isblank(A1796),,split(A1796,""-""))"),"")</f>
        <v/>
      </c>
      <c r="K1796" s="13" t="str">
        <f>IFERROR(__xludf.DUMMYFUNCTION("if(isblank(B1796),,split(B1796,""-""))"),"")</f>
        <v/>
      </c>
    </row>
    <row r="1797">
      <c r="A1797" s="132"/>
      <c r="B1797" s="41"/>
      <c r="C1797" s="9"/>
      <c r="D1797" s="133"/>
      <c r="E1797" s="133"/>
      <c r="F1797" s="24"/>
      <c r="G1797" s="24"/>
      <c r="I1797" s="13" t="str">
        <f>IFERROR(__xludf.DUMMYFUNCTION("if(isblank(A1797),,split(A1797,""-""))"),"")</f>
        <v/>
      </c>
      <c r="K1797" s="13" t="str">
        <f>IFERROR(__xludf.DUMMYFUNCTION("if(isblank(B1797),,split(B1797,""-""))"),"")</f>
        <v/>
      </c>
    </row>
    <row r="1798">
      <c r="A1798" s="132"/>
      <c r="B1798" s="41"/>
      <c r="C1798" s="9"/>
      <c r="D1798" s="133"/>
      <c r="E1798" s="133"/>
      <c r="F1798" s="24"/>
      <c r="G1798" s="24"/>
      <c r="I1798" s="13" t="str">
        <f>IFERROR(__xludf.DUMMYFUNCTION("if(isblank(A1798),,split(A1798,""-""))"),"")</f>
        <v/>
      </c>
      <c r="K1798" s="13" t="str">
        <f>IFERROR(__xludf.DUMMYFUNCTION("if(isblank(B1798),,split(B1798,""-""))"),"")</f>
        <v/>
      </c>
    </row>
    <row r="1799">
      <c r="A1799" s="132"/>
      <c r="B1799" s="41"/>
      <c r="C1799" s="9"/>
      <c r="D1799" s="133"/>
      <c r="E1799" s="133"/>
      <c r="F1799" s="24"/>
      <c r="G1799" s="24"/>
      <c r="I1799" s="13" t="str">
        <f>IFERROR(__xludf.DUMMYFUNCTION("if(isblank(A1799),,split(A1799,""-""))"),"")</f>
        <v/>
      </c>
      <c r="K1799" s="13" t="str">
        <f>IFERROR(__xludf.DUMMYFUNCTION("if(isblank(B1799),,split(B1799,""-""))"),"")</f>
        <v/>
      </c>
    </row>
    <row r="1800">
      <c r="A1800" s="132"/>
      <c r="B1800" s="41"/>
      <c r="C1800" s="9"/>
      <c r="D1800" s="133"/>
      <c r="E1800" s="133"/>
      <c r="F1800" s="24"/>
      <c r="G1800" s="24"/>
      <c r="I1800" s="13" t="str">
        <f>IFERROR(__xludf.DUMMYFUNCTION("if(isblank(A1800),,split(A1800,""-""))"),"")</f>
        <v/>
      </c>
      <c r="K1800" s="13" t="str">
        <f>IFERROR(__xludf.DUMMYFUNCTION("if(isblank(B1800),,split(B1800,""-""))"),"")</f>
        <v/>
      </c>
    </row>
    <row r="1801">
      <c r="A1801" s="132"/>
      <c r="B1801" s="41"/>
      <c r="C1801" s="9"/>
      <c r="D1801" s="133"/>
      <c r="E1801" s="133"/>
      <c r="F1801" s="24"/>
      <c r="G1801" s="24"/>
      <c r="I1801" s="13" t="str">
        <f>IFERROR(__xludf.DUMMYFUNCTION("if(isblank(A1801),,split(A1801,""-""))"),"")</f>
        <v/>
      </c>
      <c r="K1801" s="13" t="str">
        <f>IFERROR(__xludf.DUMMYFUNCTION("if(isblank(B1801),,split(B1801,""-""))"),"")</f>
        <v/>
      </c>
    </row>
    <row r="1802">
      <c r="A1802" s="132"/>
      <c r="B1802" s="41"/>
      <c r="C1802" s="9"/>
      <c r="D1802" s="133"/>
      <c r="E1802" s="133"/>
      <c r="F1802" s="24"/>
      <c r="G1802" s="24"/>
      <c r="I1802" s="13" t="str">
        <f>IFERROR(__xludf.DUMMYFUNCTION("if(isblank(A1802),,split(A1802,""-""))"),"")</f>
        <v/>
      </c>
      <c r="K1802" s="13" t="str">
        <f>IFERROR(__xludf.DUMMYFUNCTION("if(isblank(B1802),,split(B1802,""-""))"),"")</f>
        <v/>
      </c>
    </row>
    <row r="1803">
      <c r="A1803" s="132"/>
      <c r="B1803" s="41"/>
      <c r="C1803" s="9"/>
      <c r="D1803" s="133"/>
      <c r="E1803" s="133"/>
      <c r="F1803" s="24"/>
      <c r="G1803" s="24"/>
      <c r="I1803" s="13" t="str">
        <f>IFERROR(__xludf.DUMMYFUNCTION("if(isblank(A1803),,split(A1803,""-""))"),"")</f>
        <v/>
      </c>
      <c r="K1803" s="13" t="str">
        <f>IFERROR(__xludf.DUMMYFUNCTION("if(isblank(B1803),,split(B1803,""-""))"),"")</f>
        <v/>
      </c>
    </row>
    <row r="1804">
      <c r="A1804" s="132"/>
      <c r="B1804" s="41"/>
      <c r="C1804" s="9"/>
      <c r="D1804" s="133"/>
      <c r="E1804" s="133"/>
      <c r="F1804" s="24"/>
      <c r="G1804" s="24"/>
      <c r="I1804" s="13" t="str">
        <f>IFERROR(__xludf.DUMMYFUNCTION("if(isblank(A1804),,split(A1804,""-""))"),"")</f>
        <v/>
      </c>
      <c r="K1804" s="13" t="str">
        <f>IFERROR(__xludf.DUMMYFUNCTION("if(isblank(B1804),,split(B1804,""-""))"),"")</f>
        <v/>
      </c>
    </row>
    <row r="1805">
      <c r="A1805" s="132"/>
      <c r="B1805" s="41"/>
      <c r="C1805" s="9"/>
      <c r="D1805" s="133"/>
      <c r="E1805" s="133"/>
      <c r="F1805" s="24"/>
      <c r="G1805" s="24"/>
      <c r="I1805" s="13" t="str">
        <f>IFERROR(__xludf.DUMMYFUNCTION("if(isblank(A1805),,split(A1805,""-""))"),"")</f>
        <v/>
      </c>
      <c r="K1805" s="13" t="str">
        <f>IFERROR(__xludf.DUMMYFUNCTION("if(isblank(B1805),,split(B1805,""-""))"),"")</f>
        <v/>
      </c>
    </row>
    <row r="1806">
      <c r="A1806" s="132"/>
      <c r="B1806" s="41"/>
      <c r="C1806" s="9"/>
      <c r="D1806" s="133"/>
      <c r="E1806" s="133"/>
      <c r="F1806" s="24"/>
      <c r="G1806" s="24"/>
      <c r="I1806" s="13" t="str">
        <f>IFERROR(__xludf.DUMMYFUNCTION("if(isblank(A1806),,split(A1806,""-""))"),"")</f>
        <v/>
      </c>
      <c r="K1806" s="13" t="str">
        <f>IFERROR(__xludf.DUMMYFUNCTION("if(isblank(B1806),,split(B1806,""-""))"),"")</f>
        <v/>
      </c>
    </row>
    <row r="1807">
      <c r="A1807" s="132"/>
      <c r="B1807" s="41"/>
      <c r="C1807" s="9"/>
      <c r="D1807" s="133"/>
      <c r="E1807" s="133"/>
      <c r="F1807" s="24"/>
      <c r="G1807" s="24"/>
      <c r="I1807" s="13" t="str">
        <f>IFERROR(__xludf.DUMMYFUNCTION("if(isblank(A1807),,split(A1807,""-""))"),"")</f>
        <v/>
      </c>
      <c r="K1807" s="13" t="str">
        <f>IFERROR(__xludf.DUMMYFUNCTION("if(isblank(B1807),,split(B1807,""-""))"),"")</f>
        <v/>
      </c>
    </row>
    <row r="1808">
      <c r="A1808" s="132"/>
      <c r="B1808" s="41"/>
      <c r="C1808" s="9"/>
      <c r="D1808" s="133"/>
      <c r="E1808" s="133"/>
      <c r="F1808" s="24"/>
      <c r="G1808" s="24"/>
      <c r="I1808" s="13" t="str">
        <f>IFERROR(__xludf.DUMMYFUNCTION("if(isblank(A1808),,split(A1808,""-""))"),"")</f>
        <v/>
      </c>
      <c r="K1808" s="13" t="str">
        <f>IFERROR(__xludf.DUMMYFUNCTION("if(isblank(B1808),,split(B1808,""-""))"),"")</f>
        <v/>
      </c>
    </row>
    <row r="1809">
      <c r="A1809" s="132"/>
      <c r="B1809" s="41"/>
      <c r="C1809" s="9"/>
      <c r="D1809" s="133"/>
      <c r="E1809" s="133"/>
      <c r="F1809" s="24"/>
      <c r="G1809" s="24"/>
      <c r="I1809" s="13" t="str">
        <f>IFERROR(__xludf.DUMMYFUNCTION("if(isblank(A1809),,split(A1809,""-""))"),"")</f>
        <v/>
      </c>
      <c r="K1809" s="13" t="str">
        <f>IFERROR(__xludf.DUMMYFUNCTION("if(isblank(B1809),,split(B1809,""-""))"),"")</f>
        <v/>
      </c>
    </row>
    <row r="1810">
      <c r="A1810" s="132"/>
      <c r="B1810" s="41"/>
      <c r="C1810" s="9"/>
      <c r="D1810" s="133"/>
      <c r="E1810" s="133"/>
      <c r="F1810" s="24"/>
      <c r="G1810" s="24"/>
      <c r="I1810" s="13" t="str">
        <f>IFERROR(__xludf.DUMMYFUNCTION("if(isblank(A1810),,split(A1810,""-""))"),"")</f>
        <v/>
      </c>
      <c r="K1810" s="13" t="str">
        <f>IFERROR(__xludf.DUMMYFUNCTION("if(isblank(B1810),,split(B1810,""-""))"),"")</f>
        <v/>
      </c>
    </row>
    <row r="1811">
      <c r="A1811" s="132"/>
      <c r="B1811" s="41"/>
      <c r="C1811" s="9"/>
      <c r="D1811" s="133"/>
      <c r="E1811" s="133"/>
      <c r="F1811" s="24"/>
      <c r="G1811" s="24"/>
      <c r="I1811" s="13" t="str">
        <f>IFERROR(__xludf.DUMMYFUNCTION("if(isblank(A1811),,split(A1811,""-""))"),"")</f>
        <v/>
      </c>
      <c r="K1811" s="13" t="str">
        <f>IFERROR(__xludf.DUMMYFUNCTION("if(isblank(B1811),,split(B1811,""-""))"),"")</f>
        <v/>
      </c>
    </row>
    <row r="1812">
      <c r="A1812" s="132"/>
      <c r="B1812" s="41"/>
      <c r="C1812" s="9"/>
      <c r="D1812" s="133"/>
      <c r="E1812" s="133"/>
      <c r="F1812" s="24"/>
      <c r="G1812" s="24"/>
      <c r="I1812" s="13" t="str">
        <f>IFERROR(__xludf.DUMMYFUNCTION("if(isblank(A1812),,split(A1812,""-""))"),"")</f>
        <v/>
      </c>
      <c r="K1812" s="13" t="str">
        <f>IFERROR(__xludf.DUMMYFUNCTION("if(isblank(B1812),,split(B1812,""-""))"),"")</f>
        <v/>
      </c>
    </row>
    <row r="1813">
      <c r="A1813" s="132"/>
      <c r="B1813" s="41"/>
      <c r="C1813" s="9"/>
      <c r="D1813" s="133"/>
      <c r="E1813" s="133"/>
      <c r="F1813" s="24"/>
      <c r="G1813" s="24"/>
      <c r="I1813" s="13" t="str">
        <f>IFERROR(__xludf.DUMMYFUNCTION("if(isblank(A1813),,split(A1813,""-""))"),"")</f>
        <v/>
      </c>
      <c r="K1813" s="13" t="str">
        <f>IFERROR(__xludf.DUMMYFUNCTION("if(isblank(B1813),,split(B1813,""-""))"),"")</f>
        <v/>
      </c>
    </row>
    <row r="1814">
      <c r="A1814" s="132"/>
      <c r="B1814" s="41"/>
      <c r="C1814" s="9"/>
      <c r="D1814" s="133"/>
      <c r="E1814" s="133"/>
      <c r="F1814" s="24"/>
      <c r="G1814" s="24"/>
      <c r="I1814" s="13" t="str">
        <f>IFERROR(__xludf.DUMMYFUNCTION("if(isblank(A1814),,split(A1814,""-""))"),"")</f>
        <v/>
      </c>
      <c r="K1814" s="13" t="str">
        <f>IFERROR(__xludf.DUMMYFUNCTION("if(isblank(B1814),,split(B1814,""-""))"),"")</f>
        <v/>
      </c>
    </row>
    <row r="1815">
      <c r="A1815" s="132"/>
      <c r="B1815" s="41"/>
      <c r="C1815" s="9"/>
      <c r="D1815" s="133"/>
      <c r="E1815" s="133"/>
      <c r="F1815" s="24"/>
      <c r="G1815" s="24"/>
      <c r="I1815" s="13" t="str">
        <f>IFERROR(__xludf.DUMMYFUNCTION("if(isblank(A1815),,split(A1815,""-""))"),"")</f>
        <v/>
      </c>
      <c r="K1815" s="13" t="str">
        <f>IFERROR(__xludf.DUMMYFUNCTION("if(isblank(B1815),,split(B1815,""-""))"),"")</f>
        <v/>
      </c>
    </row>
    <row r="1816">
      <c r="A1816" s="132"/>
      <c r="B1816" s="41"/>
      <c r="C1816" s="9"/>
      <c r="D1816" s="133"/>
      <c r="E1816" s="133"/>
      <c r="F1816" s="24"/>
      <c r="G1816" s="24"/>
      <c r="I1816" s="13" t="str">
        <f>IFERROR(__xludf.DUMMYFUNCTION("if(isblank(A1816),,split(A1816,""-""))"),"")</f>
        <v/>
      </c>
      <c r="K1816" s="13" t="str">
        <f>IFERROR(__xludf.DUMMYFUNCTION("if(isblank(B1816),,split(B1816,""-""))"),"")</f>
        <v/>
      </c>
    </row>
    <row r="1817">
      <c r="A1817" s="132"/>
      <c r="B1817" s="41"/>
      <c r="C1817" s="9"/>
      <c r="D1817" s="133"/>
      <c r="E1817" s="133"/>
      <c r="F1817" s="24"/>
      <c r="G1817" s="24"/>
      <c r="I1817" s="13" t="str">
        <f>IFERROR(__xludf.DUMMYFUNCTION("if(isblank(A1817),,split(A1817,""-""))"),"")</f>
        <v/>
      </c>
      <c r="K1817" s="13" t="str">
        <f>IFERROR(__xludf.DUMMYFUNCTION("if(isblank(B1817),,split(B1817,""-""))"),"")</f>
        <v/>
      </c>
    </row>
    <row r="1818">
      <c r="A1818" s="132"/>
      <c r="B1818" s="41"/>
      <c r="C1818" s="9"/>
      <c r="D1818" s="133"/>
      <c r="E1818" s="133"/>
      <c r="F1818" s="24"/>
      <c r="G1818" s="24"/>
      <c r="I1818" s="13" t="str">
        <f>IFERROR(__xludf.DUMMYFUNCTION("if(isblank(A1818),,split(A1818,""-""))"),"")</f>
        <v/>
      </c>
      <c r="K1818" s="13" t="str">
        <f>IFERROR(__xludf.DUMMYFUNCTION("if(isblank(B1818),,split(B1818,""-""))"),"")</f>
        <v/>
      </c>
    </row>
    <row r="1819">
      <c r="A1819" s="132"/>
      <c r="B1819" s="41"/>
      <c r="C1819" s="9"/>
      <c r="D1819" s="133"/>
      <c r="E1819" s="133"/>
      <c r="F1819" s="24"/>
      <c r="G1819" s="24"/>
      <c r="I1819" s="13" t="str">
        <f>IFERROR(__xludf.DUMMYFUNCTION("if(isblank(A1819),,split(A1819,""-""))"),"")</f>
        <v/>
      </c>
      <c r="K1819" s="13" t="str">
        <f>IFERROR(__xludf.DUMMYFUNCTION("if(isblank(B1819),,split(B1819,""-""))"),"")</f>
        <v/>
      </c>
    </row>
    <row r="1820">
      <c r="A1820" s="132"/>
      <c r="B1820" s="41"/>
      <c r="C1820" s="9"/>
      <c r="D1820" s="133"/>
      <c r="E1820" s="133"/>
      <c r="F1820" s="24"/>
      <c r="G1820" s="24"/>
      <c r="I1820" s="13" t="str">
        <f>IFERROR(__xludf.DUMMYFUNCTION("if(isblank(A1820),,split(A1820,""-""))"),"")</f>
        <v/>
      </c>
      <c r="K1820" s="13" t="str">
        <f>IFERROR(__xludf.DUMMYFUNCTION("if(isblank(B1820),,split(B1820,""-""))"),"")</f>
        <v/>
      </c>
    </row>
    <row r="1821">
      <c r="A1821" s="132"/>
      <c r="B1821" s="41"/>
      <c r="C1821" s="9"/>
      <c r="D1821" s="133"/>
      <c r="E1821" s="133"/>
      <c r="F1821" s="24"/>
      <c r="G1821" s="24"/>
      <c r="I1821" s="13" t="str">
        <f>IFERROR(__xludf.DUMMYFUNCTION("if(isblank(A1821),,split(A1821,""-""))"),"")</f>
        <v/>
      </c>
      <c r="K1821" s="13" t="str">
        <f>IFERROR(__xludf.DUMMYFUNCTION("if(isblank(B1821),,split(B1821,""-""))"),"")</f>
        <v/>
      </c>
    </row>
    <row r="1822">
      <c r="A1822" s="132"/>
      <c r="B1822" s="41"/>
      <c r="C1822" s="9"/>
      <c r="D1822" s="133"/>
      <c r="E1822" s="133"/>
      <c r="F1822" s="24"/>
      <c r="G1822" s="24"/>
      <c r="I1822" s="13" t="str">
        <f>IFERROR(__xludf.DUMMYFUNCTION("if(isblank(A1822),,split(A1822,""-""))"),"")</f>
        <v/>
      </c>
      <c r="K1822" s="13" t="str">
        <f>IFERROR(__xludf.DUMMYFUNCTION("if(isblank(B1822),,split(B1822,""-""))"),"")</f>
        <v/>
      </c>
    </row>
    <row r="1823">
      <c r="A1823" s="132"/>
      <c r="B1823" s="41"/>
      <c r="C1823" s="9"/>
      <c r="D1823" s="133"/>
      <c r="E1823" s="133"/>
      <c r="F1823" s="24"/>
      <c r="G1823" s="24"/>
      <c r="I1823" s="13" t="str">
        <f>IFERROR(__xludf.DUMMYFUNCTION("if(isblank(A1823),,split(A1823,""-""))"),"")</f>
        <v/>
      </c>
      <c r="K1823" s="13" t="str">
        <f>IFERROR(__xludf.DUMMYFUNCTION("if(isblank(B1823),,split(B1823,""-""))"),"")</f>
        <v/>
      </c>
    </row>
    <row r="1824">
      <c r="A1824" s="132"/>
      <c r="B1824" s="41"/>
      <c r="C1824" s="9"/>
      <c r="D1824" s="133"/>
      <c r="E1824" s="133"/>
      <c r="F1824" s="24"/>
      <c r="G1824" s="24"/>
      <c r="I1824" s="13" t="str">
        <f>IFERROR(__xludf.DUMMYFUNCTION("if(isblank(A1824),,split(A1824,""-""))"),"")</f>
        <v/>
      </c>
      <c r="K1824" s="13" t="str">
        <f>IFERROR(__xludf.DUMMYFUNCTION("if(isblank(B1824),,split(B1824,""-""))"),"")</f>
        <v/>
      </c>
    </row>
    <row r="1825">
      <c r="A1825" s="132"/>
      <c r="B1825" s="41"/>
      <c r="C1825" s="9"/>
      <c r="D1825" s="133"/>
      <c r="E1825" s="133"/>
      <c r="F1825" s="24"/>
      <c r="G1825" s="24"/>
      <c r="I1825" s="13" t="str">
        <f>IFERROR(__xludf.DUMMYFUNCTION("if(isblank(A1825),,split(A1825,""-""))"),"")</f>
        <v/>
      </c>
      <c r="K1825" s="13" t="str">
        <f>IFERROR(__xludf.DUMMYFUNCTION("if(isblank(B1825),,split(B1825,""-""))"),"")</f>
        <v/>
      </c>
    </row>
    <row r="1826">
      <c r="A1826" s="132"/>
      <c r="B1826" s="41"/>
      <c r="C1826" s="9"/>
      <c r="D1826" s="133"/>
      <c r="E1826" s="133"/>
      <c r="F1826" s="24"/>
      <c r="G1826" s="24"/>
      <c r="I1826" s="13" t="str">
        <f>IFERROR(__xludf.DUMMYFUNCTION("if(isblank(A1826),,split(A1826,""-""))"),"")</f>
        <v/>
      </c>
      <c r="K1826" s="13" t="str">
        <f>IFERROR(__xludf.DUMMYFUNCTION("if(isblank(B1826),,split(B1826,""-""))"),"")</f>
        <v/>
      </c>
    </row>
    <row r="1827">
      <c r="A1827" s="132"/>
      <c r="B1827" s="41"/>
      <c r="C1827" s="9"/>
      <c r="D1827" s="133"/>
      <c r="E1827" s="133"/>
      <c r="F1827" s="24"/>
      <c r="G1827" s="24"/>
      <c r="I1827" s="13" t="str">
        <f>IFERROR(__xludf.DUMMYFUNCTION("if(isblank(A1827),,split(A1827,""-""))"),"")</f>
        <v/>
      </c>
      <c r="K1827" s="13" t="str">
        <f>IFERROR(__xludf.DUMMYFUNCTION("if(isblank(B1827),,split(B1827,""-""))"),"")</f>
        <v/>
      </c>
    </row>
    <row r="1828">
      <c r="A1828" s="132"/>
      <c r="B1828" s="41"/>
      <c r="C1828" s="9"/>
      <c r="D1828" s="133"/>
      <c r="E1828" s="133"/>
      <c r="F1828" s="24"/>
      <c r="G1828" s="24"/>
      <c r="I1828" s="13" t="str">
        <f>IFERROR(__xludf.DUMMYFUNCTION("if(isblank(A1828),,split(A1828,""-""))"),"")</f>
        <v/>
      </c>
      <c r="K1828" s="13" t="str">
        <f>IFERROR(__xludf.DUMMYFUNCTION("if(isblank(B1828),,split(B1828,""-""))"),"")</f>
        <v/>
      </c>
    </row>
    <row r="1829">
      <c r="A1829" s="132"/>
      <c r="B1829" s="41"/>
      <c r="C1829" s="9"/>
      <c r="D1829" s="133"/>
      <c r="E1829" s="133"/>
      <c r="F1829" s="24"/>
      <c r="G1829" s="24"/>
      <c r="I1829" s="13" t="str">
        <f>IFERROR(__xludf.DUMMYFUNCTION("if(isblank(A1829),,split(A1829,""-""))"),"")</f>
        <v/>
      </c>
      <c r="K1829" s="13" t="str">
        <f>IFERROR(__xludf.DUMMYFUNCTION("if(isblank(B1829),,split(B1829,""-""))"),"")</f>
        <v/>
      </c>
    </row>
    <row r="1830">
      <c r="A1830" s="132"/>
      <c r="B1830" s="41"/>
      <c r="C1830" s="9"/>
      <c r="D1830" s="133"/>
      <c r="E1830" s="133"/>
      <c r="F1830" s="24"/>
      <c r="G1830" s="24"/>
      <c r="I1830" s="13" t="str">
        <f>IFERROR(__xludf.DUMMYFUNCTION("if(isblank(A1830),,split(A1830,""-""))"),"")</f>
        <v/>
      </c>
      <c r="K1830" s="13" t="str">
        <f>IFERROR(__xludf.DUMMYFUNCTION("if(isblank(B1830),,split(B1830,""-""))"),"")</f>
        <v/>
      </c>
    </row>
    <row r="1831">
      <c r="A1831" s="132"/>
      <c r="B1831" s="41"/>
      <c r="C1831" s="9"/>
      <c r="D1831" s="133"/>
      <c r="E1831" s="133"/>
      <c r="F1831" s="24"/>
      <c r="G1831" s="24"/>
      <c r="I1831" s="13" t="str">
        <f>IFERROR(__xludf.DUMMYFUNCTION("if(isblank(A1831),,split(A1831,""-""))"),"")</f>
        <v/>
      </c>
      <c r="K1831" s="13" t="str">
        <f>IFERROR(__xludf.DUMMYFUNCTION("if(isblank(B1831),,split(B1831,""-""))"),"")</f>
        <v/>
      </c>
    </row>
    <row r="1832">
      <c r="A1832" s="132"/>
      <c r="B1832" s="41"/>
      <c r="C1832" s="9"/>
      <c r="D1832" s="133"/>
      <c r="E1832" s="133"/>
      <c r="F1832" s="24"/>
      <c r="G1832" s="24"/>
      <c r="I1832" s="13" t="str">
        <f>IFERROR(__xludf.DUMMYFUNCTION("if(isblank(A1832),,split(A1832,""-""))"),"")</f>
        <v/>
      </c>
      <c r="K1832" s="13" t="str">
        <f>IFERROR(__xludf.DUMMYFUNCTION("if(isblank(B1832),,split(B1832,""-""))"),"")</f>
        <v/>
      </c>
    </row>
    <row r="1833">
      <c r="A1833" s="132"/>
      <c r="B1833" s="41"/>
      <c r="C1833" s="9"/>
      <c r="D1833" s="133"/>
      <c r="E1833" s="133"/>
      <c r="F1833" s="24"/>
      <c r="G1833" s="24"/>
      <c r="I1833" s="13" t="str">
        <f>IFERROR(__xludf.DUMMYFUNCTION("if(isblank(A1833),,split(A1833,""-""))"),"")</f>
        <v/>
      </c>
      <c r="K1833" s="13" t="str">
        <f>IFERROR(__xludf.DUMMYFUNCTION("if(isblank(B1833),,split(B1833,""-""))"),"")</f>
        <v/>
      </c>
    </row>
    <row r="1834">
      <c r="A1834" s="132"/>
      <c r="B1834" s="41"/>
      <c r="C1834" s="9"/>
      <c r="D1834" s="133"/>
      <c r="E1834" s="133"/>
      <c r="F1834" s="24"/>
      <c r="G1834" s="24"/>
      <c r="I1834" s="13" t="str">
        <f>IFERROR(__xludf.DUMMYFUNCTION("if(isblank(A1834),,split(A1834,""-""))"),"")</f>
        <v/>
      </c>
      <c r="K1834" s="13" t="str">
        <f>IFERROR(__xludf.DUMMYFUNCTION("if(isblank(B1834),,split(B1834,""-""))"),"")</f>
        <v/>
      </c>
    </row>
    <row r="1835">
      <c r="A1835" s="132"/>
      <c r="B1835" s="41"/>
      <c r="C1835" s="9"/>
      <c r="D1835" s="133"/>
      <c r="E1835" s="133"/>
      <c r="F1835" s="24"/>
      <c r="G1835" s="24"/>
      <c r="I1835" s="13" t="str">
        <f>IFERROR(__xludf.DUMMYFUNCTION("if(isblank(A1835),,split(A1835,""-""))"),"")</f>
        <v/>
      </c>
      <c r="K1835" s="13" t="str">
        <f>IFERROR(__xludf.DUMMYFUNCTION("if(isblank(B1835),,split(B1835,""-""))"),"")</f>
        <v/>
      </c>
    </row>
    <row r="1836">
      <c r="A1836" s="132"/>
      <c r="B1836" s="41"/>
      <c r="C1836" s="9"/>
      <c r="D1836" s="133"/>
      <c r="E1836" s="133"/>
      <c r="F1836" s="24"/>
      <c r="G1836" s="24"/>
      <c r="I1836" s="13" t="str">
        <f>IFERROR(__xludf.DUMMYFUNCTION("if(isblank(A1836),,split(A1836,""-""))"),"")</f>
        <v/>
      </c>
      <c r="K1836" s="13" t="str">
        <f>IFERROR(__xludf.DUMMYFUNCTION("if(isblank(B1836),,split(B1836,""-""))"),"")</f>
        <v/>
      </c>
    </row>
    <row r="1837">
      <c r="A1837" s="132"/>
      <c r="B1837" s="41"/>
      <c r="C1837" s="9"/>
      <c r="D1837" s="133"/>
      <c r="E1837" s="133"/>
      <c r="F1837" s="24"/>
      <c r="G1837" s="24"/>
      <c r="I1837" s="13" t="str">
        <f>IFERROR(__xludf.DUMMYFUNCTION("if(isblank(A1837),,split(A1837,""-""))"),"")</f>
        <v/>
      </c>
      <c r="K1837" s="13" t="str">
        <f>IFERROR(__xludf.DUMMYFUNCTION("if(isblank(B1837),,split(B1837,""-""))"),"")</f>
        <v/>
      </c>
    </row>
    <row r="1838">
      <c r="A1838" s="132"/>
      <c r="B1838" s="41"/>
      <c r="C1838" s="9"/>
      <c r="D1838" s="133"/>
      <c r="E1838" s="133"/>
      <c r="F1838" s="24"/>
      <c r="G1838" s="24"/>
      <c r="I1838" s="13" t="str">
        <f>IFERROR(__xludf.DUMMYFUNCTION("if(isblank(A1838),,split(A1838,""-""))"),"")</f>
        <v/>
      </c>
      <c r="K1838" s="13" t="str">
        <f>IFERROR(__xludf.DUMMYFUNCTION("if(isblank(B1838),,split(B1838,""-""))"),"")</f>
        <v/>
      </c>
    </row>
    <row r="1839">
      <c r="A1839" s="132"/>
      <c r="B1839" s="41"/>
      <c r="C1839" s="9"/>
      <c r="D1839" s="133"/>
      <c r="E1839" s="133"/>
      <c r="F1839" s="24"/>
      <c r="G1839" s="24"/>
      <c r="I1839" s="13" t="str">
        <f>IFERROR(__xludf.DUMMYFUNCTION("if(isblank(A1839),,split(A1839,""-""))"),"")</f>
        <v/>
      </c>
      <c r="K1839" s="13" t="str">
        <f>IFERROR(__xludf.DUMMYFUNCTION("if(isblank(B1839),,split(B1839,""-""))"),"")</f>
        <v/>
      </c>
    </row>
    <row r="1840">
      <c r="A1840" s="132"/>
      <c r="B1840" s="41"/>
      <c r="C1840" s="9"/>
      <c r="D1840" s="133"/>
      <c r="E1840" s="133"/>
      <c r="F1840" s="24"/>
      <c r="G1840" s="24"/>
      <c r="I1840" s="13" t="str">
        <f>IFERROR(__xludf.DUMMYFUNCTION("if(isblank(A1840),,split(A1840,""-""))"),"")</f>
        <v/>
      </c>
      <c r="K1840" s="13" t="str">
        <f>IFERROR(__xludf.DUMMYFUNCTION("if(isblank(B1840),,split(B1840,""-""))"),"")</f>
        <v/>
      </c>
    </row>
    <row r="1841">
      <c r="A1841" s="132"/>
      <c r="B1841" s="41"/>
      <c r="C1841" s="9"/>
      <c r="D1841" s="133"/>
      <c r="E1841" s="133"/>
      <c r="F1841" s="24"/>
      <c r="G1841" s="24"/>
      <c r="I1841" s="13" t="str">
        <f>IFERROR(__xludf.DUMMYFUNCTION("if(isblank(A1841),,split(A1841,""-""))"),"")</f>
        <v/>
      </c>
      <c r="K1841" s="13" t="str">
        <f>IFERROR(__xludf.DUMMYFUNCTION("if(isblank(B1841),,split(B1841,""-""))"),"")</f>
        <v/>
      </c>
    </row>
    <row r="1842">
      <c r="A1842" s="132"/>
      <c r="B1842" s="41"/>
      <c r="C1842" s="9"/>
      <c r="D1842" s="133"/>
      <c r="E1842" s="133"/>
      <c r="F1842" s="24"/>
      <c r="G1842" s="24"/>
      <c r="I1842" s="13" t="str">
        <f>IFERROR(__xludf.DUMMYFUNCTION("if(isblank(A1842),,split(A1842,""-""))"),"")</f>
        <v/>
      </c>
      <c r="K1842" s="13" t="str">
        <f>IFERROR(__xludf.DUMMYFUNCTION("if(isblank(B1842),,split(B1842,""-""))"),"")</f>
        <v/>
      </c>
    </row>
    <row r="1843">
      <c r="A1843" s="132"/>
      <c r="B1843" s="41"/>
      <c r="C1843" s="9"/>
      <c r="D1843" s="133"/>
      <c r="E1843" s="133"/>
      <c r="F1843" s="24"/>
      <c r="G1843" s="24"/>
      <c r="I1843" s="13" t="str">
        <f>IFERROR(__xludf.DUMMYFUNCTION("if(isblank(A1843),,split(A1843,""-""))"),"")</f>
        <v/>
      </c>
      <c r="K1843" s="13" t="str">
        <f>IFERROR(__xludf.DUMMYFUNCTION("if(isblank(B1843),,split(B1843,""-""))"),"")</f>
        <v/>
      </c>
    </row>
    <row r="1844">
      <c r="A1844" s="132"/>
      <c r="B1844" s="41"/>
      <c r="C1844" s="9"/>
      <c r="D1844" s="133"/>
      <c r="E1844" s="133"/>
      <c r="F1844" s="24"/>
      <c r="G1844" s="24"/>
      <c r="I1844" s="13" t="str">
        <f>IFERROR(__xludf.DUMMYFUNCTION("if(isblank(A1844),,split(A1844,""-""))"),"")</f>
        <v/>
      </c>
      <c r="K1844" s="13" t="str">
        <f>IFERROR(__xludf.DUMMYFUNCTION("if(isblank(B1844),,split(B1844,""-""))"),"")</f>
        <v/>
      </c>
    </row>
    <row r="1845">
      <c r="A1845" s="132"/>
      <c r="B1845" s="41"/>
      <c r="C1845" s="9"/>
      <c r="D1845" s="133"/>
      <c r="E1845" s="133"/>
      <c r="F1845" s="24"/>
      <c r="G1845" s="24"/>
      <c r="I1845" s="13" t="str">
        <f>IFERROR(__xludf.DUMMYFUNCTION("if(isblank(A1845),,split(A1845,""-""))"),"")</f>
        <v/>
      </c>
      <c r="K1845" s="13" t="str">
        <f>IFERROR(__xludf.DUMMYFUNCTION("if(isblank(B1845),,split(B1845,""-""))"),"")</f>
        <v/>
      </c>
    </row>
    <row r="1846">
      <c r="A1846" s="132"/>
      <c r="B1846" s="41"/>
      <c r="C1846" s="9"/>
      <c r="D1846" s="133"/>
      <c r="E1846" s="133"/>
      <c r="F1846" s="24"/>
      <c r="G1846" s="24"/>
      <c r="I1846" s="13" t="str">
        <f>IFERROR(__xludf.DUMMYFUNCTION("if(isblank(A1846),,split(A1846,""-""))"),"")</f>
        <v/>
      </c>
      <c r="K1846" s="13" t="str">
        <f>IFERROR(__xludf.DUMMYFUNCTION("if(isblank(B1846),,split(B1846,""-""))"),"")</f>
        <v/>
      </c>
    </row>
    <row r="1847">
      <c r="A1847" s="132"/>
      <c r="B1847" s="41"/>
      <c r="C1847" s="9"/>
      <c r="D1847" s="133"/>
      <c r="E1847" s="133"/>
      <c r="F1847" s="24"/>
      <c r="G1847" s="24"/>
      <c r="I1847" s="13" t="str">
        <f>IFERROR(__xludf.DUMMYFUNCTION("if(isblank(A1847),,split(A1847,""-""))"),"")</f>
        <v/>
      </c>
      <c r="K1847" s="13" t="str">
        <f>IFERROR(__xludf.DUMMYFUNCTION("if(isblank(B1847),,split(B1847,""-""))"),"")</f>
        <v/>
      </c>
    </row>
    <row r="1848">
      <c r="A1848" s="132"/>
      <c r="B1848" s="41"/>
      <c r="C1848" s="9"/>
      <c r="D1848" s="133"/>
      <c r="E1848" s="133"/>
      <c r="F1848" s="24"/>
      <c r="G1848" s="24"/>
      <c r="I1848" s="13" t="str">
        <f>IFERROR(__xludf.DUMMYFUNCTION("if(isblank(A1848),,split(A1848,""-""))"),"")</f>
        <v/>
      </c>
      <c r="K1848" s="13" t="str">
        <f>IFERROR(__xludf.DUMMYFUNCTION("if(isblank(B1848),,split(B1848,""-""))"),"")</f>
        <v/>
      </c>
    </row>
    <row r="1849">
      <c r="A1849" s="132"/>
      <c r="B1849" s="41"/>
      <c r="C1849" s="9"/>
      <c r="D1849" s="133"/>
      <c r="E1849" s="133"/>
      <c r="F1849" s="24"/>
      <c r="G1849" s="24"/>
      <c r="I1849" s="13" t="str">
        <f>IFERROR(__xludf.DUMMYFUNCTION("if(isblank(A1849),,split(A1849,""-""))"),"")</f>
        <v/>
      </c>
      <c r="K1849" s="13" t="str">
        <f>IFERROR(__xludf.DUMMYFUNCTION("if(isblank(B1849),,split(B1849,""-""))"),"")</f>
        <v/>
      </c>
    </row>
    <row r="1850">
      <c r="A1850" s="132"/>
      <c r="B1850" s="41"/>
      <c r="C1850" s="9"/>
      <c r="D1850" s="133"/>
      <c r="E1850" s="133"/>
      <c r="F1850" s="24"/>
      <c r="G1850" s="24"/>
      <c r="I1850" s="13" t="str">
        <f>IFERROR(__xludf.DUMMYFUNCTION("if(isblank(A1850),,split(A1850,""-""))"),"")</f>
        <v/>
      </c>
      <c r="K1850" s="13" t="str">
        <f>IFERROR(__xludf.DUMMYFUNCTION("if(isblank(B1850),,split(B1850,""-""))"),"")</f>
        <v/>
      </c>
    </row>
    <row r="1851">
      <c r="A1851" s="132"/>
      <c r="B1851" s="41"/>
      <c r="C1851" s="9"/>
      <c r="D1851" s="133"/>
      <c r="E1851" s="133"/>
      <c r="F1851" s="24"/>
      <c r="G1851" s="24"/>
      <c r="I1851" s="13" t="str">
        <f>IFERROR(__xludf.DUMMYFUNCTION("if(isblank(A1851),,split(A1851,""-""))"),"")</f>
        <v/>
      </c>
      <c r="K1851" s="13" t="str">
        <f>IFERROR(__xludf.DUMMYFUNCTION("if(isblank(B1851),,split(B1851,""-""))"),"")</f>
        <v/>
      </c>
    </row>
    <row r="1852">
      <c r="A1852" s="132"/>
      <c r="B1852" s="41"/>
      <c r="C1852" s="9"/>
      <c r="D1852" s="133"/>
      <c r="E1852" s="133"/>
      <c r="F1852" s="24"/>
      <c r="G1852" s="24"/>
      <c r="I1852" s="13" t="str">
        <f>IFERROR(__xludf.DUMMYFUNCTION("if(isblank(A1852),,split(A1852,""-""))"),"")</f>
        <v/>
      </c>
      <c r="K1852" s="13" t="str">
        <f>IFERROR(__xludf.DUMMYFUNCTION("if(isblank(B1852),,split(B1852,""-""))"),"")</f>
        <v/>
      </c>
    </row>
    <row r="1853">
      <c r="A1853" s="132"/>
      <c r="B1853" s="41"/>
      <c r="C1853" s="9"/>
      <c r="D1853" s="133"/>
      <c r="E1853" s="133"/>
      <c r="F1853" s="24"/>
      <c r="G1853" s="24"/>
      <c r="I1853" s="13" t="str">
        <f>IFERROR(__xludf.DUMMYFUNCTION("if(isblank(A1853),,split(A1853,""-""))"),"")</f>
        <v/>
      </c>
      <c r="K1853" s="13" t="str">
        <f>IFERROR(__xludf.DUMMYFUNCTION("if(isblank(B1853),,split(B1853,""-""))"),"")</f>
        <v/>
      </c>
    </row>
    <row r="1854">
      <c r="A1854" s="132"/>
      <c r="B1854" s="41"/>
      <c r="C1854" s="9"/>
      <c r="D1854" s="133"/>
      <c r="E1854" s="133"/>
      <c r="F1854" s="24"/>
      <c r="G1854" s="24"/>
      <c r="I1854" s="13" t="str">
        <f>IFERROR(__xludf.DUMMYFUNCTION("if(isblank(A1854),,split(A1854,""-""))"),"")</f>
        <v/>
      </c>
      <c r="K1854" s="13" t="str">
        <f>IFERROR(__xludf.DUMMYFUNCTION("if(isblank(B1854),,split(B1854,""-""))"),"")</f>
        <v/>
      </c>
    </row>
    <row r="1855">
      <c r="A1855" s="132"/>
      <c r="B1855" s="41"/>
      <c r="C1855" s="9"/>
      <c r="D1855" s="133"/>
      <c r="E1855" s="133"/>
      <c r="F1855" s="24"/>
      <c r="G1855" s="24"/>
      <c r="I1855" s="13" t="str">
        <f>IFERROR(__xludf.DUMMYFUNCTION("if(isblank(A1855),,split(A1855,""-""))"),"")</f>
        <v/>
      </c>
      <c r="K1855" s="13" t="str">
        <f>IFERROR(__xludf.DUMMYFUNCTION("if(isblank(B1855),,split(B1855,""-""))"),"")</f>
        <v/>
      </c>
    </row>
    <row r="1856">
      <c r="A1856" s="132"/>
      <c r="B1856" s="41"/>
      <c r="C1856" s="9"/>
      <c r="D1856" s="133"/>
      <c r="E1856" s="133"/>
      <c r="F1856" s="24"/>
      <c r="G1856" s="24"/>
      <c r="I1856" s="13" t="str">
        <f>IFERROR(__xludf.DUMMYFUNCTION("if(isblank(A1856),,split(A1856,""-""))"),"")</f>
        <v/>
      </c>
      <c r="K1856" s="13" t="str">
        <f>IFERROR(__xludf.DUMMYFUNCTION("if(isblank(B1856),,split(B1856,""-""))"),"")</f>
        <v/>
      </c>
    </row>
    <row r="1857">
      <c r="A1857" s="132"/>
      <c r="B1857" s="41"/>
      <c r="C1857" s="9"/>
      <c r="D1857" s="133"/>
      <c r="E1857" s="133"/>
      <c r="F1857" s="24"/>
      <c r="G1857" s="24"/>
      <c r="I1857" s="13" t="str">
        <f>IFERROR(__xludf.DUMMYFUNCTION("if(isblank(A1857),,split(A1857,""-""))"),"")</f>
        <v/>
      </c>
      <c r="K1857" s="13" t="str">
        <f>IFERROR(__xludf.DUMMYFUNCTION("if(isblank(B1857),,split(B1857,""-""))"),"")</f>
        <v/>
      </c>
    </row>
    <row r="1858">
      <c r="A1858" s="132"/>
      <c r="B1858" s="41"/>
      <c r="C1858" s="9"/>
      <c r="D1858" s="133"/>
      <c r="E1858" s="133"/>
      <c r="F1858" s="24"/>
      <c r="G1858" s="24"/>
      <c r="I1858" s="13" t="str">
        <f>IFERROR(__xludf.DUMMYFUNCTION("if(isblank(A1858),,split(A1858,""-""))"),"")</f>
        <v/>
      </c>
      <c r="K1858" s="13" t="str">
        <f>IFERROR(__xludf.DUMMYFUNCTION("if(isblank(B1858),,split(B1858,""-""))"),"")</f>
        <v/>
      </c>
    </row>
    <row r="1859">
      <c r="A1859" s="132"/>
      <c r="B1859" s="41"/>
      <c r="C1859" s="9"/>
      <c r="D1859" s="133"/>
      <c r="E1859" s="133"/>
      <c r="F1859" s="24"/>
      <c r="G1859" s="24"/>
      <c r="I1859" s="13" t="str">
        <f>IFERROR(__xludf.DUMMYFUNCTION("if(isblank(A1859),,split(A1859,""-""))"),"")</f>
        <v/>
      </c>
      <c r="K1859" s="13" t="str">
        <f>IFERROR(__xludf.DUMMYFUNCTION("if(isblank(B1859),,split(B1859,""-""))"),"")</f>
        <v/>
      </c>
    </row>
    <row r="1860">
      <c r="A1860" s="132"/>
      <c r="B1860" s="41"/>
      <c r="C1860" s="9"/>
      <c r="D1860" s="133"/>
      <c r="E1860" s="133"/>
      <c r="F1860" s="24"/>
      <c r="G1860" s="24"/>
      <c r="I1860" s="13" t="str">
        <f>IFERROR(__xludf.DUMMYFUNCTION("if(isblank(A1860),,split(A1860,""-""))"),"")</f>
        <v/>
      </c>
      <c r="K1860" s="13" t="str">
        <f>IFERROR(__xludf.DUMMYFUNCTION("if(isblank(B1860),,split(B1860,""-""))"),"")</f>
        <v/>
      </c>
    </row>
    <row r="1861">
      <c r="A1861" s="132"/>
      <c r="B1861" s="41"/>
      <c r="C1861" s="9"/>
      <c r="D1861" s="133"/>
      <c r="E1861" s="133"/>
      <c r="F1861" s="24"/>
      <c r="G1861" s="24"/>
      <c r="I1861" s="13" t="str">
        <f>IFERROR(__xludf.DUMMYFUNCTION("if(isblank(A1861),,split(A1861,""-""))"),"")</f>
        <v/>
      </c>
      <c r="K1861" s="13" t="str">
        <f>IFERROR(__xludf.DUMMYFUNCTION("if(isblank(B1861),,split(B1861,""-""))"),"")</f>
        <v/>
      </c>
    </row>
    <row r="1862">
      <c r="A1862" s="132"/>
      <c r="B1862" s="41"/>
      <c r="C1862" s="9"/>
      <c r="D1862" s="133"/>
      <c r="E1862" s="133"/>
      <c r="F1862" s="24"/>
      <c r="G1862" s="24"/>
      <c r="I1862" s="13" t="str">
        <f>IFERROR(__xludf.DUMMYFUNCTION("if(isblank(A1862),,split(A1862,""-""))"),"")</f>
        <v/>
      </c>
      <c r="K1862" s="13" t="str">
        <f>IFERROR(__xludf.DUMMYFUNCTION("if(isblank(B1862),,split(B1862,""-""))"),"")</f>
        <v/>
      </c>
    </row>
    <row r="1863">
      <c r="A1863" s="132"/>
      <c r="B1863" s="41"/>
      <c r="C1863" s="9"/>
      <c r="D1863" s="133"/>
      <c r="E1863" s="133"/>
      <c r="F1863" s="24"/>
      <c r="G1863" s="24"/>
      <c r="I1863" s="13" t="str">
        <f>IFERROR(__xludf.DUMMYFUNCTION("if(isblank(A1863),,split(A1863,""-""))"),"")</f>
        <v/>
      </c>
      <c r="K1863" s="13" t="str">
        <f>IFERROR(__xludf.DUMMYFUNCTION("if(isblank(B1863),,split(B1863,""-""))"),"")</f>
        <v/>
      </c>
    </row>
    <row r="1864">
      <c r="A1864" s="132"/>
      <c r="B1864" s="41"/>
      <c r="C1864" s="9"/>
      <c r="D1864" s="133"/>
      <c r="E1864" s="133"/>
      <c r="F1864" s="24"/>
      <c r="G1864" s="24"/>
      <c r="I1864" s="13" t="str">
        <f>IFERROR(__xludf.DUMMYFUNCTION("if(isblank(A1864),,split(A1864,""-""))"),"")</f>
        <v/>
      </c>
      <c r="K1864" s="13" t="str">
        <f>IFERROR(__xludf.DUMMYFUNCTION("if(isblank(B1864),,split(B1864,""-""))"),"")</f>
        <v/>
      </c>
    </row>
    <row r="1865">
      <c r="A1865" s="132"/>
      <c r="B1865" s="41"/>
      <c r="C1865" s="9"/>
      <c r="D1865" s="133"/>
      <c r="E1865" s="133"/>
      <c r="F1865" s="24"/>
      <c r="G1865" s="24"/>
      <c r="I1865" s="13" t="str">
        <f>IFERROR(__xludf.DUMMYFUNCTION("if(isblank(A1865),,split(A1865,""-""))"),"")</f>
        <v/>
      </c>
      <c r="K1865" s="13" t="str">
        <f>IFERROR(__xludf.DUMMYFUNCTION("if(isblank(B1865),,split(B1865,""-""))"),"")</f>
        <v/>
      </c>
    </row>
    <row r="1866">
      <c r="A1866" s="132"/>
      <c r="B1866" s="41"/>
      <c r="C1866" s="9"/>
      <c r="D1866" s="133"/>
      <c r="E1866" s="133"/>
      <c r="F1866" s="24"/>
      <c r="G1866" s="24"/>
      <c r="I1866" s="13" t="str">
        <f>IFERROR(__xludf.DUMMYFUNCTION("if(isblank(A1866),,split(A1866,""-""))"),"")</f>
        <v/>
      </c>
      <c r="K1866" s="13" t="str">
        <f>IFERROR(__xludf.DUMMYFUNCTION("if(isblank(B1866),,split(B1866,""-""))"),"")</f>
        <v/>
      </c>
    </row>
    <row r="1867">
      <c r="A1867" s="132"/>
      <c r="B1867" s="41"/>
      <c r="C1867" s="9"/>
      <c r="D1867" s="133"/>
      <c r="E1867" s="133"/>
      <c r="F1867" s="24"/>
      <c r="G1867" s="24"/>
      <c r="I1867" s="13" t="str">
        <f>IFERROR(__xludf.DUMMYFUNCTION("if(isblank(A1867),,split(A1867,""-""))"),"")</f>
        <v/>
      </c>
      <c r="K1867" s="13" t="str">
        <f>IFERROR(__xludf.DUMMYFUNCTION("if(isblank(B1867),,split(B1867,""-""))"),"")</f>
        <v/>
      </c>
    </row>
    <row r="1868">
      <c r="A1868" s="132"/>
      <c r="B1868" s="41"/>
      <c r="C1868" s="9"/>
      <c r="D1868" s="133"/>
      <c r="E1868" s="133"/>
      <c r="F1868" s="24"/>
      <c r="G1868" s="24"/>
      <c r="I1868" s="13" t="str">
        <f>IFERROR(__xludf.DUMMYFUNCTION("if(isblank(A1868),,split(A1868,""-""))"),"")</f>
        <v/>
      </c>
      <c r="K1868" s="13" t="str">
        <f>IFERROR(__xludf.DUMMYFUNCTION("if(isblank(B1868),,split(B1868,""-""))"),"")</f>
        <v/>
      </c>
    </row>
    <row r="1869">
      <c r="A1869" s="132"/>
      <c r="B1869" s="41"/>
      <c r="C1869" s="9"/>
      <c r="D1869" s="133"/>
      <c r="E1869" s="133"/>
      <c r="F1869" s="24"/>
      <c r="G1869" s="24"/>
      <c r="I1869" s="13" t="str">
        <f>IFERROR(__xludf.DUMMYFUNCTION("if(isblank(A1869),,split(A1869,""-""))"),"")</f>
        <v/>
      </c>
      <c r="K1869" s="13" t="str">
        <f>IFERROR(__xludf.DUMMYFUNCTION("if(isblank(B1869),,split(B1869,""-""))"),"")</f>
        <v/>
      </c>
    </row>
    <row r="1870">
      <c r="A1870" s="132"/>
      <c r="B1870" s="41"/>
      <c r="C1870" s="9"/>
      <c r="D1870" s="133"/>
      <c r="E1870" s="133"/>
      <c r="F1870" s="24"/>
      <c r="G1870" s="24"/>
      <c r="I1870" s="13" t="str">
        <f>IFERROR(__xludf.DUMMYFUNCTION("if(isblank(A1870),,split(A1870,""-""))"),"")</f>
        <v/>
      </c>
      <c r="K1870" s="13" t="str">
        <f>IFERROR(__xludf.DUMMYFUNCTION("if(isblank(B1870),,split(B1870,""-""))"),"")</f>
        <v/>
      </c>
    </row>
    <row r="1871">
      <c r="A1871" s="132"/>
      <c r="B1871" s="41"/>
      <c r="C1871" s="9"/>
      <c r="D1871" s="133"/>
      <c r="E1871" s="133"/>
      <c r="F1871" s="24"/>
      <c r="G1871" s="24"/>
      <c r="I1871" s="13" t="str">
        <f>IFERROR(__xludf.DUMMYFUNCTION("if(isblank(A1871),,split(A1871,""-""))"),"")</f>
        <v/>
      </c>
      <c r="K1871" s="13" t="str">
        <f>IFERROR(__xludf.DUMMYFUNCTION("if(isblank(B1871),,split(B1871,""-""))"),"")</f>
        <v/>
      </c>
    </row>
    <row r="1872">
      <c r="A1872" s="132"/>
      <c r="B1872" s="41"/>
      <c r="C1872" s="9"/>
      <c r="D1872" s="133"/>
      <c r="E1872" s="133"/>
      <c r="F1872" s="24"/>
      <c r="G1872" s="24"/>
      <c r="I1872" s="13" t="str">
        <f>IFERROR(__xludf.DUMMYFUNCTION("if(isblank(A1872),,split(A1872,""-""))"),"")</f>
        <v/>
      </c>
      <c r="K1872" s="13" t="str">
        <f>IFERROR(__xludf.DUMMYFUNCTION("if(isblank(B1872),,split(B1872,""-""))"),"")</f>
        <v/>
      </c>
    </row>
    <row r="1873">
      <c r="A1873" s="132"/>
      <c r="B1873" s="41"/>
      <c r="C1873" s="9"/>
      <c r="D1873" s="133"/>
      <c r="E1873" s="133"/>
      <c r="F1873" s="24"/>
      <c r="G1873" s="24"/>
      <c r="I1873" s="13" t="str">
        <f>IFERROR(__xludf.DUMMYFUNCTION("if(isblank(A1873),,split(A1873,""-""))"),"")</f>
        <v/>
      </c>
      <c r="K1873" s="13" t="str">
        <f>IFERROR(__xludf.DUMMYFUNCTION("if(isblank(B1873),,split(B1873,""-""))"),"")</f>
        <v/>
      </c>
    </row>
    <row r="1874">
      <c r="A1874" s="132"/>
      <c r="B1874" s="41"/>
      <c r="C1874" s="9"/>
      <c r="D1874" s="133"/>
      <c r="E1874" s="133"/>
      <c r="F1874" s="24"/>
      <c r="G1874" s="24"/>
      <c r="I1874" s="13" t="str">
        <f>IFERROR(__xludf.DUMMYFUNCTION("if(isblank(A1874),,split(A1874,""-""))"),"")</f>
        <v/>
      </c>
      <c r="K1874" s="13" t="str">
        <f>IFERROR(__xludf.DUMMYFUNCTION("if(isblank(B1874),,split(B1874,""-""))"),"")</f>
        <v/>
      </c>
    </row>
    <row r="1875">
      <c r="A1875" s="132"/>
      <c r="B1875" s="41"/>
      <c r="C1875" s="9"/>
      <c r="D1875" s="133"/>
      <c r="E1875" s="133"/>
      <c r="F1875" s="24"/>
      <c r="G1875" s="24"/>
      <c r="I1875" s="13" t="str">
        <f>IFERROR(__xludf.DUMMYFUNCTION("if(isblank(A1875),,split(A1875,""-""))"),"")</f>
        <v/>
      </c>
      <c r="K1875" s="13" t="str">
        <f>IFERROR(__xludf.DUMMYFUNCTION("if(isblank(B1875),,split(B1875,""-""))"),"")</f>
        <v/>
      </c>
    </row>
    <row r="1876">
      <c r="A1876" s="132"/>
      <c r="B1876" s="41"/>
      <c r="C1876" s="9"/>
      <c r="D1876" s="133"/>
      <c r="E1876" s="133"/>
      <c r="F1876" s="24"/>
      <c r="G1876" s="24"/>
      <c r="I1876" s="13" t="str">
        <f>IFERROR(__xludf.DUMMYFUNCTION("if(isblank(A1876),,split(A1876,""-""))"),"")</f>
        <v/>
      </c>
      <c r="K1876" s="13" t="str">
        <f>IFERROR(__xludf.DUMMYFUNCTION("if(isblank(B1876),,split(B1876,""-""))"),"")</f>
        <v/>
      </c>
    </row>
    <row r="1877">
      <c r="A1877" s="132"/>
      <c r="B1877" s="41"/>
      <c r="C1877" s="9"/>
      <c r="D1877" s="133"/>
      <c r="E1877" s="133"/>
      <c r="F1877" s="24"/>
      <c r="G1877" s="24"/>
      <c r="I1877" s="13" t="str">
        <f>IFERROR(__xludf.DUMMYFUNCTION("if(isblank(A1877),,split(A1877,""-""))"),"")</f>
        <v/>
      </c>
      <c r="K1877" s="13" t="str">
        <f>IFERROR(__xludf.DUMMYFUNCTION("if(isblank(B1877),,split(B1877,""-""))"),"")</f>
        <v/>
      </c>
    </row>
    <row r="1878">
      <c r="A1878" s="132"/>
      <c r="B1878" s="41"/>
      <c r="C1878" s="9"/>
      <c r="D1878" s="133"/>
      <c r="E1878" s="133"/>
      <c r="F1878" s="24"/>
      <c r="G1878" s="24"/>
      <c r="I1878" s="13" t="str">
        <f>IFERROR(__xludf.DUMMYFUNCTION("if(isblank(A1878),,split(A1878,""-""))"),"")</f>
        <v/>
      </c>
      <c r="K1878" s="13" t="str">
        <f>IFERROR(__xludf.DUMMYFUNCTION("if(isblank(B1878),,split(B1878,""-""))"),"")</f>
        <v/>
      </c>
    </row>
    <row r="1879">
      <c r="A1879" s="132"/>
      <c r="B1879" s="41"/>
      <c r="C1879" s="9"/>
      <c r="D1879" s="133"/>
      <c r="E1879" s="133"/>
      <c r="F1879" s="24"/>
      <c r="G1879" s="24"/>
      <c r="I1879" s="13" t="str">
        <f>IFERROR(__xludf.DUMMYFUNCTION("if(isblank(A1879),,split(A1879,""-""))"),"")</f>
        <v/>
      </c>
      <c r="K1879" s="13" t="str">
        <f>IFERROR(__xludf.DUMMYFUNCTION("if(isblank(B1879),,split(B1879,""-""))"),"")</f>
        <v/>
      </c>
    </row>
    <row r="1880">
      <c r="A1880" s="132"/>
      <c r="B1880" s="41"/>
      <c r="C1880" s="9"/>
      <c r="D1880" s="133"/>
      <c r="E1880" s="133"/>
      <c r="F1880" s="24"/>
      <c r="G1880" s="24"/>
      <c r="I1880" s="13" t="str">
        <f>IFERROR(__xludf.DUMMYFUNCTION("if(isblank(A1880),,split(A1880,""-""))"),"")</f>
        <v/>
      </c>
      <c r="K1880" s="13" t="str">
        <f>IFERROR(__xludf.DUMMYFUNCTION("if(isblank(B1880),,split(B1880,""-""))"),"")</f>
        <v/>
      </c>
    </row>
    <row r="1881">
      <c r="A1881" s="132"/>
      <c r="B1881" s="41"/>
      <c r="C1881" s="9"/>
      <c r="D1881" s="133"/>
      <c r="E1881" s="133"/>
      <c r="F1881" s="24"/>
      <c r="G1881" s="24"/>
      <c r="I1881" s="13" t="str">
        <f>IFERROR(__xludf.DUMMYFUNCTION("if(isblank(A1881),,split(A1881,""-""))"),"")</f>
        <v/>
      </c>
      <c r="K1881" s="13" t="str">
        <f>IFERROR(__xludf.DUMMYFUNCTION("if(isblank(B1881),,split(B1881,""-""))"),"")</f>
        <v/>
      </c>
    </row>
    <row r="1882">
      <c r="A1882" s="132"/>
      <c r="B1882" s="41"/>
      <c r="C1882" s="9"/>
      <c r="D1882" s="133"/>
      <c r="E1882" s="133"/>
      <c r="F1882" s="24"/>
      <c r="G1882" s="24"/>
      <c r="I1882" s="13" t="str">
        <f>IFERROR(__xludf.DUMMYFUNCTION("if(isblank(A1882),,split(A1882,""-""))"),"")</f>
        <v/>
      </c>
      <c r="K1882" s="13" t="str">
        <f>IFERROR(__xludf.DUMMYFUNCTION("if(isblank(B1882),,split(B1882,""-""))"),"")</f>
        <v/>
      </c>
    </row>
    <row r="1883">
      <c r="A1883" s="132"/>
      <c r="B1883" s="41"/>
      <c r="C1883" s="9"/>
      <c r="D1883" s="133"/>
      <c r="E1883" s="133"/>
      <c r="F1883" s="24"/>
      <c r="G1883" s="24"/>
      <c r="I1883" s="13" t="str">
        <f>IFERROR(__xludf.DUMMYFUNCTION("if(isblank(A1883),,split(A1883,""-""))"),"")</f>
        <v/>
      </c>
      <c r="K1883" s="13" t="str">
        <f>IFERROR(__xludf.DUMMYFUNCTION("if(isblank(B1883),,split(B1883,""-""))"),"")</f>
        <v/>
      </c>
    </row>
    <row r="1884">
      <c r="A1884" s="132"/>
      <c r="B1884" s="41"/>
      <c r="C1884" s="9"/>
      <c r="D1884" s="133"/>
      <c r="E1884" s="133"/>
      <c r="F1884" s="24"/>
      <c r="G1884" s="24"/>
      <c r="I1884" s="13" t="str">
        <f>IFERROR(__xludf.DUMMYFUNCTION("if(isblank(A1884),,split(A1884,""-""))"),"")</f>
        <v/>
      </c>
      <c r="K1884" s="13" t="str">
        <f>IFERROR(__xludf.DUMMYFUNCTION("if(isblank(B1884),,split(B1884,""-""))"),"")</f>
        <v/>
      </c>
    </row>
    <row r="1885">
      <c r="A1885" s="132"/>
      <c r="B1885" s="41"/>
      <c r="C1885" s="9"/>
      <c r="D1885" s="133"/>
      <c r="E1885" s="133"/>
      <c r="F1885" s="24"/>
      <c r="G1885" s="24"/>
      <c r="I1885" s="13" t="str">
        <f>IFERROR(__xludf.DUMMYFUNCTION("if(isblank(A1885),,split(A1885,""-""))"),"")</f>
        <v/>
      </c>
      <c r="K1885" s="13" t="str">
        <f>IFERROR(__xludf.DUMMYFUNCTION("if(isblank(B1885),,split(B1885,""-""))"),"")</f>
        <v/>
      </c>
    </row>
    <row r="1886">
      <c r="A1886" s="132"/>
      <c r="B1886" s="41"/>
      <c r="C1886" s="9"/>
      <c r="D1886" s="133"/>
      <c r="E1886" s="133"/>
      <c r="F1886" s="24"/>
      <c r="G1886" s="24"/>
      <c r="I1886" s="13" t="str">
        <f>IFERROR(__xludf.DUMMYFUNCTION("if(isblank(A1886),,split(A1886,""-""))"),"")</f>
        <v/>
      </c>
      <c r="K1886" s="13" t="str">
        <f>IFERROR(__xludf.DUMMYFUNCTION("if(isblank(B1886),,split(B1886,""-""))"),"")</f>
        <v/>
      </c>
    </row>
    <row r="1887">
      <c r="A1887" s="132"/>
      <c r="B1887" s="41"/>
      <c r="C1887" s="9"/>
      <c r="D1887" s="133"/>
      <c r="E1887" s="133"/>
      <c r="F1887" s="24"/>
      <c r="G1887" s="24"/>
      <c r="I1887" s="13" t="str">
        <f>IFERROR(__xludf.DUMMYFUNCTION("if(isblank(A1887),,split(A1887,""-""))"),"")</f>
        <v/>
      </c>
      <c r="K1887" s="13" t="str">
        <f>IFERROR(__xludf.DUMMYFUNCTION("if(isblank(B1887),,split(B1887,""-""))"),"")</f>
        <v/>
      </c>
    </row>
    <row r="1888">
      <c r="A1888" s="132"/>
      <c r="B1888" s="41"/>
      <c r="C1888" s="9"/>
      <c r="D1888" s="133"/>
      <c r="E1888" s="133"/>
      <c r="F1888" s="24"/>
      <c r="G1888" s="24"/>
      <c r="I1888" s="13" t="str">
        <f>IFERROR(__xludf.DUMMYFUNCTION("if(isblank(A1888),,split(A1888,""-""))"),"")</f>
        <v/>
      </c>
      <c r="K1888" s="13" t="str">
        <f>IFERROR(__xludf.DUMMYFUNCTION("if(isblank(B1888),,split(B1888,""-""))"),"")</f>
        <v/>
      </c>
    </row>
    <row r="1889">
      <c r="A1889" s="132"/>
      <c r="B1889" s="41"/>
      <c r="C1889" s="9"/>
      <c r="D1889" s="133"/>
      <c r="E1889" s="133"/>
      <c r="F1889" s="24"/>
      <c r="G1889" s="24"/>
      <c r="I1889" s="13" t="str">
        <f>IFERROR(__xludf.DUMMYFUNCTION("if(isblank(A1889),,split(A1889,""-""))"),"")</f>
        <v/>
      </c>
      <c r="K1889" s="13" t="str">
        <f>IFERROR(__xludf.DUMMYFUNCTION("if(isblank(B1889),,split(B1889,""-""))"),"")</f>
        <v/>
      </c>
    </row>
    <row r="1890">
      <c r="A1890" s="132"/>
      <c r="B1890" s="41"/>
      <c r="C1890" s="9"/>
      <c r="D1890" s="133"/>
      <c r="E1890" s="133"/>
      <c r="F1890" s="24"/>
      <c r="G1890" s="24"/>
      <c r="I1890" s="13" t="str">
        <f>IFERROR(__xludf.DUMMYFUNCTION("if(isblank(A1890),,split(A1890,""-""))"),"")</f>
        <v/>
      </c>
      <c r="K1890" s="13" t="str">
        <f>IFERROR(__xludf.DUMMYFUNCTION("if(isblank(B1890),,split(B1890,""-""))"),"")</f>
        <v/>
      </c>
    </row>
    <row r="1891">
      <c r="A1891" s="132"/>
      <c r="B1891" s="41"/>
      <c r="C1891" s="9"/>
      <c r="D1891" s="133"/>
      <c r="E1891" s="133"/>
      <c r="F1891" s="24"/>
      <c r="G1891" s="24"/>
      <c r="I1891" s="13" t="str">
        <f>IFERROR(__xludf.DUMMYFUNCTION("if(isblank(A1891),,split(A1891,""-""))"),"")</f>
        <v/>
      </c>
      <c r="K1891" s="13" t="str">
        <f>IFERROR(__xludf.DUMMYFUNCTION("if(isblank(B1891),,split(B1891,""-""))"),"")</f>
        <v/>
      </c>
    </row>
    <row r="1892">
      <c r="A1892" s="132"/>
      <c r="B1892" s="41"/>
      <c r="C1892" s="9"/>
      <c r="D1892" s="133"/>
      <c r="E1892" s="133"/>
      <c r="F1892" s="24"/>
      <c r="G1892" s="24"/>
      <c r="I1892" s="13" t="str">
        <f>IFERROR(__xludf.DUMMYFUNCTION("if(isblank(A1892),,split(A1892,""-""))"),"")</f>
        <v/>
      </c>
      <c r="K1892" s="13" t="str">
        <f>IFERROR(__xludf.DUMMYFUNCTION("if(isblank(B1892),,split(B1892,""-""))"),"")</f>
        <v/>
      </c>
    </row>
    <row r="1893">
      <c r="A1893" s="132"/>
      <c r="B1893" s="41"/>
      <c r="C1893" s="9"/>
      <c r="D1893" s="133"/>
      <c r="E1893" s="133"/>
      <c r="F1893" s="24"/>
      <c r="G1893" s="24"/>
      <c r="I1893" s="13" t="str">
        <f>IFERROR(__xludf.DUMMYFUNCTION("if(isblank(A1893),,split(A1893,""-""))"),"")</f>
        <v/>
      </c>
      <c r="K1893" s="13" t="str">
        <f>IFERROR(__xludf.DUMMYFUNCTION("if(isblank(B1893),,split(B1893,""-""))"),"")</f>
        <v/>
      </c>
    </row>
    <row r="1894">
      <c r="A1894" s="132"/>
      <c r="B1894" s="41"/>
      <c r="C1894" s="9"/>
      <c r="D1894" s="133"/>
      <c r="E1894" s="133"/>
      <c r="F1894" s="24"/>
      <c r="G1894" s="24"/>
      <c r="I1894" s="13" t="str">
        <f>IFERROR(__xludf.DUMMYFUNCTION("if(isblank(A1894),,split(A1894,""-""))"),"")</f>
        <v/>
      </c>
      <c r="K1894" s="13" t="str">
        <f>IFERROR(__xludf.DUMMYFUNCTION("if(isblank(B1894),,split(B1894,""-""))"),"")</f>
        <v/>
      </c>
    </row>
    <row r="1895">
      <c r="A1895" s="132"/>
      <c r="B1895" s="41"/>
      <c r="C1895" s="9"/>
      <c r="D1895" s="133"/>
      <c r="E1895" s="133"/>
      <c r="F1895" s="24"/>
      <c r="G1895" s="24"/>
      <c r="I1895" s="13" t="str">
        <f>IFERROR(__xludf.DUMMYFUNCTION("if(isblank(A1895),,split(A1895,""-""))"),"")</f>
        <v/>
      </c>
      <c r="K1895" s="13" t="str">
        <f>IFERROR(__xludf.DUMMYFUNCTION("if(isblank(B1895),,split(B1895,""-""))"),"")</f>
        <v/>
      </c>
    </row>
    <row r="1896">
      <c r="A1896" s="132"/>
      <c r="B1896" s="41"/>
      <c r="C1896" s="9"/>
      <c r="D1896" s="133"/>
      <c r="E1896" s="133"/>
      <c r="F1896" s="24"/>
      <c r="G1896" s="24"/>
      <c r="I1896" s="13" t="str">
        <f>IFERROR(__xludf.DUMMYFUNCTION("if(isblank(A1896),,split(A1896,""-""))"),"")</f>
        <v/>
      </c>
      <c r="K1896" s="13" t="str">
        <f>IFERROR(__xludf.DUMMYFUNCTION("if(isblank(B1896),,split(B1896,""-""))"),"")</f>
        <v/>
      </c>
    </row>
    <row r="1897">
      <c r="A1897" s="132"/>
      <c r="B1897" s="41"/>
      <c r="C1897" s="9"/>
      <c r="D1897" s="133"/>
      <c r="E1897" s="133"/>
      <c r="F1897" s="24"/>
      <c r="G1897" s="24"/>
      <c r="I1897" s="13" t="str">
        <f>IFERROR(__xludf.DUMMYFUNCTION("if(isblank(A1897),,split(A1897,""-""))"),"")</f>
        <v/>
      </c>
      <c r="K1897" s="13" t="str">
        <f>IFERROR(__xludf.DUMMYFUNCTION("if(isblank(B1897),,split(B1897,""-""))"),"")</f>
        <v/>
      </c>
    </row>
    <row r="1898">
      <c r="A1898" s="132"/>
      <c r="B1898" s="41"/>
      <c r="C1898" s="9"/>
      <c r="D1898" s="133"/>
      <c r="E1898" s="133"/>
      <c r="F1898" s="24"/>
      <c r="G1898" s="24"/>
      <c r="I1898" s="13" t="str">
        <f>IFERROR(__xludf.DUMMYFUNCTION("if(isblank(A1898),,split(A1898,""-""))"),"")</f>
        <v/>
      </c>
      <c r="K1898" s="13" t="str">
        <f>IFERROR(__xludf.DUMMYFUNCTION("if(isblank(B1898),,split(B1898,""-""))"),"")</f>
        <v/>
      </c>
    </row>
    <row r="1899">
      <c r="A1899" s="132"/>
      <c r="B1899" s="41"/>
      <c r="C1899" s="9"/>
      <c r="D1899" s="133"/>
      <c r="E1899" s="133"/>
      <c r="F1899" s="24"/>
      <c r="G1899" s="24"/>
      <c r="I1899" s="13" t="str">
        <f>IFERROR(__xludf.DUMMYFUNCTION("if(isblank(A1899),,split(A1899,""-""))"),"")</f>
        <v/>
      </c>
      <c r="K1899" s="13" t="str">
        <f>IFERROR(__xludf.DUMMYFUNCTION("if(isblank(B1899),,split(B1899,""-""))"),"")</f>
        <v/>
      </c>
    </row>
    <row r="1900">
      <c r="A1900" s="132"/>
      <c r="B1900" s="41"/>
      <c r="C1900" s="9"/>
      <c r="D1900" s="133"/>
      <c r="E1900" s="133"/>
      <c r="F1900" s="24"/>
      <c r="G1900" s="24"/>
      <c r="I1900" s="13" t="str">
        <f>IFERROR(__xludf.DUMMYFUNCTION("if(isblank(A1900),,split(A1900,""-""))"),"")</f>
        <v/>
      </c>
      <c r="K1900" s="13" t="str">
        <f>IFERROR(__xludf.DUMMYFUNCTION("if(isblank(B1900),,split(B1900,""-""))"),"")</f>
        <v/>
      </c>
    </row>
    <row r="1901">
      <c r="A1901" s="132"/>
      <c r="B1901" s="41"/>
      <c r="C1901" s="9"/>
      <c r="D1901" s="133"/>
      <c r="E1901" s="133"/>
      <c r="F1901" s="24"/>
      <c r="G1901" s="24"/>
      <c r="I1901" s="13" t="str">
        <f>IFERROR(__xludf.DUMMYFUNCTION("if(isblank(A1901),,split(A1901,""-""))"),"")</f>
        <v/>
      </c>
      <c r="K1901" s="13" t="str">
        <f>IFERROR(__xludf.DUMMYFUNCTION("if(isblank(B1901),,split(B1901,""-""))"),"")</f>
        <v/>
      </c>
    </row>
    <row r="1902">
      <c r="A1902" s="132"/>
      <c r="B1902" s="41"/>
      <c r="C1902" s="9"/>
      <c r="D1902" s="133"/>
      <c r="E1902" s="133"/>
      <c r="F1902" s="24"/>
      <c r="G1902" s="24"/>
      <c r="I1902" s="13" t="str">
        <f>IFERROR(__xludf.DUMMYFUNCTION("if(isblank(A1902),,split(A1902,""-""))"),"")</f>
        <v/>
      </c>
      <c r="K1902" s="13" t="str">
        <f>IFERROR(__xludf.DUMMYFUNCTION("if(isblank(B1902),,split(B1902,""-""))"),"")</f>
        <v/>
      </c>
    </row>
    <row r="1903">
      <c r="A1903" s="132"/>
      <c r="B1903" s="41"/>
      <c r="C1903" s="9"/>
      <c r="D1903" s="133"/>
      <c r="E1903" s="133"/>
      <c r="F1903" s="24"/>
      <c r="G1903" s="24"/>
      <c r="I1903" s="13" t="str">
        <f>IFERROR(__xludf.DUMMYFUNCTION("if(isblank(A1903),,split(A1903,""-""))"),"")</f>
        <v/>
      </c>
      <c r="K1903" s="13" t="str">
        <f>IFERROR(__xludf.DUMMYFUNCTION("if(isblank(B1903),,split(B1903,""-""))"),"")</f>
        <v/>
      </c>
    </row>
    <row r="1904">
      <c r="A1904" s="132"/>
      <c r="B1904" s="41"/>
      <c r="C1904" s="9"/>
      <c r="D1904" s="133"/>
      <c r="E1904" s="133"/>
      <c r="F1904" s="24"/>
      <c r="G1904" s="24"/>
      <c r="I1904" s="13" t="str">
        <f>IFERROR(__xludf.DUMMYFUNCTION("if(isblank(A1904),,split(A1904,""-""))"),"")</f>
        <v/>
      </c>
      <c r="K1904" s="13" t="str">
        <f>IFERROR(__xludf.DUMMYFUNCTION("if(isblank(B1904),,split(B1904,""-""))"),"")</f>
        <v/>
      </c>
    </row>
    <row r="1905">
      <c r="A1905" s="132"/>
      <c r="B1905" s="41"/>
      <c r="C1905" s="9"/>
      <c r="D1905" s="133"/>
      <c r="E1905" s="133"/>
      <c r="F1905" s="24"/>
      <c r="G1905" s="24"/>
      <c r="I1905" s="13" t="str">
        <f>IFERROR(__xludf.DUMMYFUNCTION("if(isblank(A1905),,split(A1905,""-""))"),"")</f>
        <v/>
      </c>
      <c r="K1905" s="13" t="str">
        <f>IFERROR(__xludf.DUMMYFUNCTION("if(isblank(B1905),,split(B1905,""-""))"),"")</f>
        <v/>
      </c>
    </row>
    <row r="1906">
      <c r="A1906" s="132"/>
      <c r="B1906" s="41"/>
      <c r="C1906" s="9"/>
      <c r="D1906" s="133"/>
      <c r="E1906" s="133"/>
      <c r="F1906" s="24"/>
      <c r="G1906" s="24"/>
      <c r="I1906" s="13" t="str">
        <f>IFERROR(__xludf.DUMMYFUNCTION("if(isblank(A1906),,split(A1906,""-""))"),"")</f>
        <v/>
      </c>
      <c r="K1906" s="13" t="str">
        <f>IFERROR(__xludf.DUMMYFUNCTION("if(isblank(B1906),,split(B1906,""-""))"),"")</f>
        <v/>
      </c>
    </row>
    <row r="1907">
      <c r="A1907" s="132"/>
      <c r="B1907" s="41"/>
      <c r="C1907" s="9"/>
      <c r="D1907" s="133"/>
      <c r="E1907" s="133"/>
      <c r="F1907" s="24"/>
      <c r="G1907" s="24"/>
      <c r="I1907" s="13" t="str">
        <f>IFERROR(__xludf.DUMMYFUNCTION("if(isblank(A1907),,split(A1907,""-""))"),"")</f>
        <v/>
      </c>
      <c r="K1907" s="13" t="str">
        <f>IFERROR(__xludf.DUMMYFUNCTION("if(isblank(B1907),,split(B1907,""-""))"),"")</f>
        <v/>
      </c>
    </row>
    <row r="1908">
      <c r="A1908" s="132"/>
      <c r="B1908" s="41"/>
      <c r="C1908" s="9"/>
      <c r="D1908" s="133"/>
      <c r="E1908" s="133"/>
      <c r="F1908" s="24"/>
      <c r="G1908" s="24"/>
      <c r="I1908" s="13" t="str">
        <f>IFERROR(__xludf.DUMMYFUNCTION("if(isblank(A1908),,split(A1908,""-""))"),"")</f>
        <v/>
      </c>
      <c r="K1908" s="13" t="str">
        <f>IFERROR(__xludf.DUMMYFUNCTION("if(isblank(B1908),,split(B1908,""-""))"),"")</f>
        <v/>
      </c>
    </row>
    <row r="1909">
      <c r="A1909" s="132"/>
      <c r="B1909" s="41"/>
      <c r="C1909" s="9"/>
      <c r="D1909" s="133"/>
      <c r="E1909" s="133"/>
      <c r="F1909" s="24"/>
      <c r="G1909" s="24"/>
      <c r="I1909" s="13" t="str">
        <f>IFERROR(__xludf.DUMMYFUNCTION("if(isblank(A1909),,split(A1909,""-""))"),"")</f>
        <v/>
      </c>
      <c r="K1909" s="13" t="str">
        <f>IFERROR(__xludf.DUMMYFUNCTION("if(isblank(B1909),,split(B1909,""-""))"),"")</f>
        <v/>
      </c>
    </row>
    <row r="1910">
      <c r="A1910" s="132"/>
      <c r="B1910" s="41"/>
      <c r="C1910" s="9"/>
      <c r="D1910" s="133"/>
      <c r="E1910" s="133"/>
      <c r="F1910" s="24"/>
      <c r="G1910" s="24"/>
      <c r="I1910" s="13" t="str">
        <f>IFERROR(__xludf.DUMMYFUNCTION("if(isblank(A1910),,split(A1910,""-""))"),"")</f>
        <v/>
      </c>
      <c r="K1910" s="13" t="str">
        <f>IFERROR(__xludf.DUMMYFUNCTION("if(isblank(B1910),,split(B1910,""-""))"),"")</f>
        <v/>
      </c>
    </row>
    <row r="1911">
      <c r="A1911" s="132"/>
      <c r="B1911" s="41"/>
      <c r="C1911" s="9"/>
      <c r="D1911" s="133"/>
      <c r="E1911" s="133"/>
      <c r="F1911" s="24"/>
      <c r="G1911" s="24"/>
      <c r="I1911" s="13" t="str">
        <f>IFERROR(__xludf.DUMMYFUNCTION("if(isblank(A1911),,split(A1911,""-""))"),"")</f>
        <v/>
      </c>
      <c r="K1911" s="13" t="str">
        <f>IFERROR(__xludf.DUMMYFUNCTION("if(isblank(B1911),,split(B1911,""-""))"),"")</f>
        <v/>
      </c>
    </row>
    <row r="1912">
      <c r="A1912" s="132"/>
      <c r="B1912" s="41"/>
      <c r="C1912" s="9"/>
      <c r="D1912" s="133"/>
      <c r="E1912" s="133"/>
      <c r="F1912" s="24"/>
      <c r="G1912" s="24"/>
      <c r="I1912" s="13" t="str">
        <f>IFERROR(__xludf.DUMMYFUNCTION("if(isblank(A1912),,split(A1912,""-""))"),"")</f>
        <v/>
      </c>
      <c r="K1912" s="13" t="str">
        <f>IFERROR(__xludf.DUMMYFUNCTION("if(isblank(B1912),,split(B1912,""-""))"),"")</f>
        <v/>
      </c>
    </row>
    <row r="1913">
      <c r="A1913" s="132"/>
      <c r="B1913" s="41"/>
      <c r="C1913" s="9"/>
      <c r="D1913" s="133"/>
      <c r="E1913" s="133"/>
      <c r="F1913" s="24"/>
      <c r="G1913" s="24"/>
      <c r="I1913" s="13" t="str">
        <f>IFERROR(__xludf.DUMMYFUNCTION("if(isblank(A1913),,split(A1913,""-""))"),"")</f>
        <v/>
      </c>
      <c r="K1913" s="13" t="str">
        <f>IFERROR(__xludf.DUMMYFUNCTION("if(isblank(B1913),,split(B1913,""-""))"),"")</f>
        <v/>
      </c>
    </row>
    <row r="1914">
      <c r="A1914" s="132"/>
      <c r="B1914" s="41"/>
      <c r="C1914" s="9"/>
      <c r="D1914" s="133"/>
      <c r="E1914" s="133"/>
      <c r="F1914" s="24"/>
      <c r="G1914" s="24"/>
      <c r="I1914" s="13" t="str">
        <f>IFERROR(__xludf.DUMMYFUNCTION("if(isblank(A1914),,split(A1914,""-""))"),"")</f>
        <v/>
      </c>
      <c r="K1914" s="13" t="str">
        <f>IFERROR(__xludf.DUMMYFUNCTION("if(isblank(B1914),,split(B1914,""-""))"),"")</f>
        <v/>
      </c>
    </row>
    <row r="1915">
      <c r="A1915" s="132"/>
      <c r="B1915" s="41"/>
      <c r="C1915" s="9"/>
      <c r="D1915" s="133"/>
      <c r="E1915" s="133"/>
      <c r="F1915" s="24"/>
      <c r="G1915" s="24"/>
      <c r="I1915" s="13" t="str">
        <f>IFERROR(__xludf.DUMMYFUNCTION("if(isblank(A1915),,split(A1915,""-""))"),"")</f>
        <v/>
      </c>
      <c r="K1915" s="13" t="str">
        <f>IFERROR(__xludf.DUMMYFUNCTION("if(isblank(B1915),,split(B1915,""-""))"),"")</f>
        <v/>
      </c>
    </row>
    <row r="1916">
      <c r="A1916" s="132"/>
      <c r="B1916" s="41"/>
      <c r="C1916" s="9"/>
      <c r="D1916" s="133"/>
      <c r="E1916" s="133"/>
      <c r="F1916" s="24"/>
      <c r="G1916" s="24"/>
      <c r="I1916" s="13" t="str">
        <f>IFERROR(__xludf.DUMMYFUNCTION("if(isblank(A1916),,split(A1916,""-""))"),"")</f>
        <v/>
      </c>
      <c r="K1916" s="13" t="str">
        <f>IFERROR(__xludf.DUMMYFUNCTION("if(isblank(B1916),,split(B1916,""-""))"),"")</f>
        <v/>
      </c>
    </row>
    <row r="1917">
      <c r="A1917" s="132"/>
      <c r="B1917" s="41"/>
      <c r="C1917" s="9"/>
      <c r="D1917" s="133"/>
      <c r="E1917" s="133"/>
      <c r="F1917" s="24"/>
      <c r="G1917" s="24"/>
      <c r="I1917" s="13" t="str">
        <f>IFERROR(__xludf.DUMMYFUNCTION("if(isblank(A1917),,split(A1917,""-""))"),"")</f>
        <v/>
      </c>
      <c r="K1917" s="13" t="str">
        <f>IFERROR(__xludf.DUMMYFUNCTION("if(isblank(B1917),,split(B1917,""-""))"),"")</f>
        <v/>
      </c>
    </row>
    <row r="1918">
      <c r="A1918" s="132"/>
      <c r="B1918" s="41"/>
      <c r="C1918" s="9"/>
      <c r="D1918" s="133"/>
      <c r="E1918" s="133"/>
      <c r="F1918" s="24"/>
      <c r="G1918" s="24"/>
      <c r="I1918" s="13" t="str">
        <f>IFERROR(__xludf.DUMMYFUNCTION("if(isblank(A1918),,split(A1918,""-""))"),"")</f>
        <v/>
      </c>
      <c r="K1918" s="13" t="str">
        <f>IFERROR(__xludf.DUMMYFUNCTION("if(isblank(B1918),,split(B1918,""-""))"),"")</f>
        <v/>
      </c>
    </row>
    <row r="1919">
      <c r="A1919" s="132"/>
      <c r="B1919" s="41"/>
      <c r="C1919" s="9"/>
      <c r="D1919" s="133"/>
      <c r="E1919" s="133"/>
      <c r="F1919" s="24"/>
      <c r="G1919" s="24"/>
      <c r="I1919" s="13" t="str">
        <f>IFERROR(__xludf.DUMMYFUNCTION("if(isblank(A1919),,split(A1919,""-""))"),"")</f>
        <v/>
      </c>
      <c r="K1919" s="13" t="str">
        <f>IFERROR(__xludf.DUMMYFUNCTION("if(isblank(B1919),,split(B1919,""-""))"),"")</f>
        <v/>
      </c>
    </row>
    <row r="1920">
      <c r="A1920" s="132"/>
      <c r="B1920" s="41"/>
      <c r="C1920" s="9"/>
      <c r="D1920" s="133"/>
      <c r="E1920" s="133"/>
      <c r="F1920" s="24"/>
      <c r="G1920" s="24"/>
      <c r="I1920" s="13" t="str">
        <f>IFERROR(__xludf.DUMMYFUNCTION("if(isblank(A1920),,split(A1920,""-""))"),"")</f>
        <v/>
      </c>
      <c r="K1920" s="13" t="str">
        <f>IFERROR(__xludf.DUMMYFUNCTION("if(isblank(B1920),,split(B1920,""-""))"),"")</f>
        <v/>
      </c>
    </row>
    <row r="1921">
      <c r="A1921" s="132"/>
      <c r="B1921" s="41"/>
      <c r="C1921" s="9"/>
      <c r="D1921" s="133"/>
      <c r="E1921" s="133"/>
      <c r="F1921" s="24"/>
      <c r="G1921" s="24"/>
      <c r="I1921" s="13" t="str">
        <f>IFERROR(__xludf.DUMMYFUNCTION("if(isblank(A1921),,split(A1921,""-""))"),"")</f>
        <v/>
      </c>
      <c r="K1921" s="13" t="str">
        <f>IFERROR(__xludf.DUMMYFUNCTION("if(isblank(B1921),,split(B1921,""-""))"),"")</f>
        <v/>
      </c>
    </row>
    <row r="1922">
      <c r="A1922" s="132"/>
      <c r="B1922" s="41"/>
      <c r="C1922" s="9"/>
      <c r="D1922" s="133"/>
      <c r="E1922" s="133"/>
      <c r="F1922" s="24"/>
      <c r="G1922" s="24"/>
      <c r="I1922" s="13" t="str">
        <f>IFERROR(__xludf.DUMMYFUNCTION("if(isblank(A1922),,split(A1922,""-""))"),"")</f>
        <v/>
      </c>
      <c r="K1922" s="13" t="str">
        <f>IFERROR(__xludf.DUMMYFUNCTION("if(isblank(B1922),,split(B1922,""-""))"),"")</f>
        <v/>
      </c>
    </row>
    <row r="1923">
      <c r="A1923" s="132"/>
      <c r="B1923" s="41"/>
      <c r="C1923" s="9"/>
      <c r="D1923" s="133"/>
      <c r="E1923" s="133"/>
      <c r="F1923" s="24"/>
      <c r="G1923" s="24"/>
      <c r="I1923" s="13" t="str">
        <f>IFERROR(__xludf.DUMMYFUNCTION("if(isblank(A1923),,split(A1923,""-""))"),"")</f>
        <v/>
      </c>
      <c r="K1923" s="13" t="str">
        <f>IFERROR(__xludf.DUMMYFUNCTION("if(isblank(B1923),,split(B1923,""-""))"),"")</f>
        <v/>
      </c>
    </row>
    <row r="1924">
      <c r="A1924" s="132"/>
      <c r="B1924" s="41"/>
      <c r="C1924" s="9"/>
      <c r="D1924" s="133"/>
      <c r="E1924" s="133"/>
      <c r="F1924" s="24"/>
      <c r="G1924" s="24"/>
      <c r="I1924" s="13" t="str">
        <f>IFERROR(__xludf.DUMMYFUNCTION("if(isblank(A1924),,split(A1924,""-""))"),"")</f>
        <v/>
      </c>
      <c r="K1924" s="13" t="str">
        <f>IFERROR(__xludf.DUMMYFUNCTION("if(isblank(B1924),,split(B1924,""-""))"),"")</f>
        <v/>
      </c>
    </row>
    <row r="1925">
      <c r="A1925" s="132"/>
      <c r="B1925" s="41"/>
      <c r="C1925" s="9"/>
      <c r="D1925" s="133"/>
      <c r="E1925" s="133"/>
      <c r="F1925" s="24"/>
      <c r="G1925" s="24"/>
      <c r="I1925" s="13" t="str">
        <f>IFERROR(__xludf.DUMMYFUNCTION("if(isblank(A1925),,split(A1925,""-""))"),"")</f>
        <v/>
      </c>
      <c r="K1925" s="13" t="str">
        <f>IFERROR(__xludf.DUMMYFUNCTION("if(isblank(B1925),,split(B1925,""-""))"),"")</f>
        <v/>
      </c>
    </row>
    <row r="1926">
      <c r="A1926" s="132"/>
      <c r="B1926" s="41"/>
      <c r="C1926" s="9"/>
      <c r="D1926" s="133"/>
      <c r="E1926" s="133"/>
      <c r="F1926" s="24"/>
      <c r="G1926" s="24"/>
      <c r="I1926" s="13" t="str">
        <f>IFERROR(__xludf.DUMMYFUNCTION("if(isblank(A1926),,split(A1926,""-""))"),"")</f>
        <v/>
      </c>
      <c r="K1926" s="13" t="str">
        <f>IFERROR(__xludf.DUMMYFUNCTION("if(isblank(B1926),,split(B1926,""-""))"),"")</f>
        <v/>
      </c>
    </row>
    <row r="1927">
      <c r="A1927" s="132"/>
      <c r="B1927" s="41"/>
      <c r="C1927" s="9"/>
      <c r="D1927" s="133"/>
      <c r="E1927" s="133"/>
      <c r="F1927" s="24"/>
      <c r="G1927" s="24"/>
      <c r="I1927" s="13" t="str">
        <f>IFERROR(__xludf.DUMMYFUNCTION("if(isblank(A1927),,split(A1927,""-""))"),"")</f>
        <v/>
      </c>
      <c r="K1927" s="13" t="str">
        <f>IFERROR(__xludf.DUMMYFUNCTION("if(isblank(B1927),,split(B1927,""-""))"),"")</f>
        <v/>
      </c>
    </row>
    <row r="1928">
      <c r="A1928" s="132"/>
      <c r="B1928" s="41"/>
      <c r="C1928" s="9"/>
      <c r="D1928" s="133"/>
      <c r="E1928" s="133"/>
      <c r="F1928" s="24"/>
      <c r="G1928" s="24"/>
      <c r="I1928" s="13" t="str">
        <f>IFERROR(__xludf.DUMMYFUNCTION("if(isblank(A1928),,split(A1928,""-""))"),"")</f>
        <v/>
      </c>
      <c r="K1928" s="13" t="str">
        <f>IFERROR(__xludf.DUMMYFUNCTION("if(isblank(B1928),,split(B1928,""-""))"),"")</f>
        <v/>
      </c>
    </row>
    <row r="1929">
      <c r="A1929" s="132"/>
      <c r="B1929" s="41"/>
      <c r="C1929" s="9"/>
      <c r="D1929" s="133"/>
      <c r="E1929" s="133"/>
      <c r="F1929" s="24"/>
      <c r="G1929" s="24"/>
      <c r="I1929" s="13" t="str">
        <f>IFERROR(__xludf.DUMMYFUNCTION("if(isblank(A1929),,split(A1929,""-""))"),"")</f>
        <v/>
      </c>
      <c r="K1929" s="13" t="str">
        <f>IFERROR(__xludf.DUMMYFUNCTION("if(isblank(B1929),,split(B1929,""-""))"),"")</f>
        <v/>
      </c>
    </row>
    <row r="1930">
      <c r="A1930" s="132"/>
      <c r="B1930" s="41"/>
      <c r="C1930" s="9"/>
      <c r="D1930" s="133"/>
      <c r="E1930" s="133"/>
      <c r="F1930" s="24"/>
      <c r="G1930" s="24"/>
      <c r="I1930" s="13" t="str">
        <f>IFERROR(__xludf.DUMMYFUNCTION("if(isblank(A1930),,split(A1930,""-""))"),"")</f>
        <v/>
      </c>
      <c r="K1930" s="13" t="str">
        <f>IFERROR(__xludf.DUMMYFUNCTION("if(isblank(B1930),,split(B1930,""-""))"),"")</f>
        <v/>
      </c>
    </row>
    <row r="1931">
      <c r="A1931" s="132"/>
      <c r="B1931" s="41"/>
      <c r="C1931" s="9"/>
      <c r="D1931" s="133"/>
      <c r="E1931" s="133"/>
      <c r="F1931" s="24"/>
      <c r="G1931" s="24"/>
      <c r="I1931" s="13" t="str">
        <f>IFERROR(__xludf.DUMMYFUNCTION("if(isblank(A1931),,split(A1931,""-""))"),"")</f>
        <v/>
      </c>
      <c r="K1931" s="13" t="str">
        <f>IFERROR(__xludf.DUMMYFUNCTION("if(isblank(B1931),,split(B1931,""-""))"),"")</f>
        <v/>
      </c>
    </row>
    <row r="1932">
      <c r="A1932" s="132"/>
      <c r="B1932" s="41"/>
      <c r="C1932" s="9"/>
      <c r="D1932" s="133"/>
      <c r="E1932" s="133"/>
      <c r="F1932" s="24"/>
      <c r="G1932" s="24"/>
      <c r="I1932" s="13" t="str">
        <f>IFERROR(__xludf.DUMMYFUNCTION("if(isblank(A1932),,split(A1932,""-""))"),"")</f>
        <v/>
      </c>
      <c r="K1932" s="13" t="str">
        <f>IFERROR(__xludf.DUMMYFUNCTION("if(isblank(B1932),,split(B1932,""-""))"),"")</f>
        <v/>
      </c>
    </row>
    <row r="1933">
      <c r="A1933" s="132"/>
      <c r="B1933" s="41"/>
      <c r="C1933" s="9"/>
      <c r="D1933" s="133"/>
      <c r="E1933" s="133"/>
      <c r="F1933" s="24"/>
      <c r="G1933" s="24"/>
      <c r="I1933" s="13" t="str">
        <f>IFERROR(__xludf.DUMMYFUNCTION("if(isblank(A1933),,split(A1933,""-""))"),"")</f>
        <v/>
      </c>
      <c r="K1933" s="13" t="str">
        <f>IFERROR(__xludf.DUMMYFUNCTION("if(isblank(B1933),,split(B1933,""-""))"),"")</f>
        <v/>
      </c>
    </row>
    <row r="1934">
      <c r="A1934" s="132"/>
      <c r="B1934" s="41"/>
      <c r="C1934" s="9"/>
      <c r="D1934" s="133"/>
      <c r="E1934" s="133"/>
      <c r="F1934" s="24"/>
      <c r="G1934" s="24"/>
      <c r="I1934" s="13" t="str">
        <f>IFERROR(__xludf.DUMMYFUNCTION("if(isblank(A1934),,split(A1934,""-""))"),"")</f>
        <v/>
      </c>
      <c r="K1934" s="13" t="str">
        <f>IFERROR(__xludf.DUMMYFUNCTION("if(isblank(B1934),,split(B1934,""-""))"),"")</f>
        <v/>
      </c>
    </row>
    <row r="1935">
      <c r="A1935" s="132"/>
      <c r="B1935" s="41"/>
      <c r="C1935" s="9"/>
      <c r="D1935" s="133"/>
      <c r="E1935" s="133"/>
      <c r="F1935" s="24"/>
      <c r="G1935" s="24"/>
      <c r="I1935" s="13" t="str">
        <f>IFERROR(__xludf.DUMMYFUNCTION("if(isblank(A1935),,split(A1935,""-""))"),"")</f>
        <v/>
      </c>
      <c r="K1935" s="13" t="str">
        <f>IFERROR(__xludf.DUMMYFUNCTION("if(isblank(B1935),,split(B1935,""-""))"),"")</f>
        <v/>
      </c>
    </row>
    <row r="1936">
      <c r="A1936" s="132"/>
      <c r="B1936" s="41"/>
      <c r="C1936" s="9"/>
      <c r="D1936" s="133"/>
      <c r="E1936" s="133"/>
      <c r="F1936" s="24"/>
      <c r="G1936" s="24"/>
      <c r="I1936" s="13" t="str">
        <f>IFERROR(__xludf.DUMMYFUNCTION("if(isblank(A1936),,split(A1936,""-""))"),"")</f>
        <v/>
      </c>
      <c r="K1936" s="13" t="str">
        <f>IFERROR(__xludf.DUMMYFUNCTION("if(isblank(B1936),,split(B1936,""-""))"),"")</f>
        <v/>
      </c>
    </row>
    <row r="1937">
      <c r="A1937" s="132"/>
      <c r="B1937" s="41"/>
      <c r="C1937" s="9"/>
      <c r="D1937" s="133"/>
      <c r="E1937" s="133"/>
      <c r="F1937" s="24"/>
      <c r="G1937" s="24"/>
      <c r="I1937" s="13" t="str">
        <f>IFERROR(__xludf.DUMMYFUNCTION("if(isblank(A1937),,split(A1937,""-""))"),"")</f>
        <v/>
      </c>
      <c r="K1937" s="13" t="str">
        <f>IFERROR(__xludf.DUMMYFUNCTION("if(isblank(B1937),,split(B1937,""-""))"),"")</f>
        <v/>
      </c>
    </row>
    <row r="1938">
      <c r="A1938" s="132"/>
      <c r="B1938" s="41"/>
      <c r="C1938" s="9"/>
      <c r="D1938" s="133"/>
      <c r="E1938" s="133"/>
      <c r="F1938" s="24"/>
      <c r="G1938" s="24"/>
      <c r="I1938" s="13" t="str">
        <f>IFERROR(__xludf.DUMMYFUNCTION("if(isblank(A1938),,split(A1938,""-""))"),"")</f>
        <v/>
      </c>
      <c r="K1938" s="13" t="str">
        <f>IFERROR(__xludf.DUMMYFUNCTION("if(isblank(B1938),,split(B1938,""-""))"),"")</f>
        <v/>
      </c>
    </row>
    <row r="1939">
      <c r="A1939" s="132"/>
      <c r="B1939" s="41"/>
      <c r="C1939" s="9"/>
      <c r="D1939" s="133"/>
      <c r="E1939" s="133"/>
      <c r="F1939" s="24"/>
      <c r="G1939" s="24"/>
      <c r="I1939" s="13" t="str">
        <f>IFERROR(__xludf.DUMMYFUNCTION("if(isblank(A1939),,split(A1939,""-""))"),"")</f>
        <v/>
      </c>
      <c r="K1939" s="13" t="str">
        <f>IFERROR(__xludf.DUMMYFUNCTION("if(isblank(B1939),,split(B1939,""-""))"),"")</f>
        <v/>
      </c>
    </row>
    <row r="1940">
      <c r="A1940" s="132"/>
      <c r="B1940" s="41"/>
      <c r="C1940" s="9"/>
      <c r="D1940" s="133"/>
      <c r="E1940" s="133"/>
      <c r="F1940" s="24"/>
      <c r="G1940" s="24"/>
      <c r="I1940" s="13" t="str">
        <f>IFERROR(__xludf.DUMMYFUNCTION("if(isblank(A1940),,split(A1940,""-""))"),"")</f>
        <v/>
      </c>
      <c r="K1940" s="13" t="str">
        <f>IFERROR(__xludf.DUMMYFUNCTION("if(isblank(B1940),,split(B1940,""-""))"),"")</f>
        <v/>
      </c>
    </row>
    <row r="1941">
      <c r="A1941" s="132"/>
      <c r="B1941" s="41"/>
      <c r="C1941" s="9"/>
      <c r="D1941" s="133"/>
      <c r="E1941" s="133"/>
      <c r="F1941" s="24"/>
      <c r="G1941" s="24"/>
      <c r="I1941" s="13" t="str">
        <f>IFERROR(__xludf.DUMMYFUNCTION("if(isblank(A1941),,split(A1941,""-""))"),"")</f>
        <v/>
      </c>
      <c r="K1941" s="13" t="str">
        <f>IFERROR(__xludf.DUMMYFUNCTION("if(isblank(B1941),,split(B1941,""-""))"),"")</f>
        <v/>
      </c>
    </row>
    <row r="1942">
      <c r="A1942" s="132"/>
      <c r="B1942" s="41"/>
      <c r="C1942" s="9"/>
      <c r="D1942" s="133"/>
      <c r="E1942" s="133"/>
      <c r="F1942" s="24"/>
      <c r="G1942" s="24"/>
      <c r="I1942" s="13" t="str">
        <f>IFERROR(__xludf.DUMMYFUNCTION("if(isblank(A1942),,split(A1942,""-""))"),"")</f>
        <v/>
      </c>
      <c r="K1942" s="13" t="str">
        <f>IFERROR(__xludf.DUMMYFUNCTION("if(isblank(B1942),,split(B1942,""-""))"),"")</f>
        <v/>
      </c>
    </row>
    <row r="1943">
      <c r="A1943" s="132"/>
      <c r="B1943" s="41"/>
      <c r="C1943" s="9"/>
      <c r="D1943" s="133"/>
      <c r="E1943" s="133"/>
      <c r="F1943" s="24"/>
      <c r="G1943" s="24"/>
      <c r="I1943" s="13" t="str">
        <f>IFERROR(__xludf.DUMMYFUNCTION("if(isblank(A1943),,split(A1943,""-""))"),"")</f>
        <v/>
      </c>
      <c r="K1943" s="13" t="str">
        <f>IFERROR(__xludf.DUMMYFUNCTION("if(isblank(B1943),,split(B1943,""-""))"),"")</f>
        <v/>
      </c>
    </row>
    <row r="1944">
      <c r="A1944" s="132"/>
      <c r="B1944" s="41"/>
      <c r="C1944" s="9"/>
      <c r="D1944" s="133"/>
      <c r="E1944" s="133"/>
      <c r="F1944" s="24"/>
      <c r="G1944" s="24"/>
      <c r="I1944" s="13" t="str">
        <f>IFERROR(__xludf.DUMMYFUNCTION("if(isblank(A1944),,split(A1944,""-""))"),"")</f>
        <v/>
      </c>
      <c r="K1944" s="13" t="str">
        <f>IFERROR(__xludf.DUMMYFUNCTION("if(isblank(B1944),,split(B1944,""-""))"),"")</f>
        <v/>
      </c>
    </row>
    <row r="1945">
      <c r="A1945" s="132"/>
      <c r="B1945" s="41"/>
      <c r="C1945" s="9"/>
      <c r="D1945" s="133"/>
      <c r="E1945" s="133"/>
      <c r="F1945" s="24"/>
      <c r="G1945" s="24"/>
      <c r="I1945" s="13" t="str">
        <f>IFERROR(__xludf.DUMMYFUNCTION("if(isblank(A1945),,split(A1945,""-""))"),"")</f>
        <v/>
      </c>
      <c r="K1945" s="13" t="str">
        <f>IFERROR(__xludf.DUMMYFUNCTION("if(isblank(B1945),,split(B1945,""-""))"),"")</f>
        <v/>
      </c>
    </row>
    <row r="1946">
      <c r="A1946" s="132"/>
      <c r="B1946" s="41"/>
      <c r="C1946" s="9"/>
      <c r="D1946" s="133"/>
      <c r="E1946" s="133"/>
      <c r="F1946" s="24"/>
      <c r="G1946" s="24"/>
      <c r="I1946" s="13" t="str">
        <f>IFERROR(__xludf.DUMMYFUNCTION("if(isblank(A1946),,split(A1946,""-""))"),"")</f>
        <v/>
      </c>
      <c r="K1946" s="13" t="str">
        <f>IFERROR(__xludf.DUMMYFUNCTION("if(isblank(B1946),,split(B1946,""-""))"),"")</f>
        <v/>
      </c>
    </row>
    <row r="1947">
      <c r="A1947" s="132"/>
      <c r="B1947" s="41"/>
      <c r="C1947" s="9"/>
      <c r="D1947" s="133"/>
      <c r="E1947" s="133"/>
      <c r="F1947" s="24"/>
      <c r="G1947" s="24"/>
      <c r="I1947" s="13" t="str">
        <f>IFERROR(__xludf.DUMMYFUNCTION("if(isblank(A1947),,split(A1947,""-""))"),"")</f>
        <v/>
      </c>
      <c r="K1947" s="13" t="str">
        <f>IFERROR(__xludf.DUMMYFUNCTION("if(isblank(B1947),,split(B1947,""-""))"),"")</f>
        <v/>
      </c>
    </row>
    <row r="1948">
      <c r="A1948" s="132"/>
      <c r="B1948" s="41"/>
      <c r="C1948" s="9"/>
      <c r="D1948" s="133"/>
      <c r="E1948" s="133"/>
      <c r="F1948" s="24"/>
      <c r="G1948" s="24"/>
      <c r="I1948" s="13" t="str">
        <f>IFERROR(__xludf.DUMMYFUNCTION("if(isblank(A1948),,split(A1948,""-""))"),"")</f>
        <v/>
      </c>
      <c r="K1948" s="13" t="str">
        <f>IFERROR(__xludf.DUMMYFUNCTION("if(isblank(B1948),,split(B1948,""-""))"),"")</f>
        <v/>
      </c>
    </row>
    <row r="1949">
      <c r="A1949" s="132"/>
      <c r="B1949" s="41"/>
      <c r="C1949" s="9"/>
      <c r="D1949" s="133"/>
      <c r="E1949" s="133"/>
      <c r="F1949" s="24"/>
      <c r="G1949" s="24"/>
      <c r="I1949" s="13" t="str">
        <f>IFERROR(__xludf.DUMMYFUNCTION("if(isblank(A1949),,split(A1949,""-""))"),"")</f>
        <v/>
      </c>
      <c r="K1949" s="13" t="str">
        <f>IFERROR(__xludf.DUMMYFUNCTION("if(isblank(B1949),,split(B1949,""-""))"),"")</f>
        <v/>
      </c>
    </row>
    <row r="1950">
      <c r="A1950" s="132"/>
      <c r="B1950" s="41"/>
      <c r="C1950" s="9"/>
      <c r="D1950" s="133"/>
      <c r="E1950" s="133"/>
      <c r="F1950" s="24"/>
      <c r="G1950" s="24"/>
      <c r="I1950" s="13" t="str">
        <f>IFERROR(__xludf.DUMMYFUNCTION("if(isblank(A1950),,split(A1950,""-""))"),"")</f>
        <v/>
      </c>
      <c r="K1950" s="13" t="str">
        <f>IFERROR(__xludf.DUMMYFUNCTION("if(isblank(B1950),,split(B1950,""-""))"),"")</f>
        <v/>
      </c>
    </row>
    <row r="1951">
      <c r="A1951" s="132"/>
      <c r="B1951" s="41"/>
      <c r="C1951" s="9"/>
      <c r="D1951" s="133"/>
      <c r="E1951" s="133"/>
      <c r="F1951" s="24"/>
      <c r="G1951" s="24"/>
      <c r="I1951" s="13" t="str">
        <f>IFERROR(__xludf.DUMMYFUNCTION("if(isblank(A1951),,split(A1951,""-""))"),"")</f>
        <v/>
      </c>
      <c r="K1951" s="13" t="str">
        <f>IFERROR(__xludf.DUMMYFUNCTION("if(isblank(B1951),,split(B1951,""-""))"),"")</f>
        <v/>
      </c>
    </row>
    <row r="1952">
      <c r="A1952" s="132"/>
      <c r="B1952" s="41"/>
      <c r="C1952" s="9"/>
      <c r="D1952" s="133"/>
      <c r="E1952" s="133"/>
      <c r="F1952" s="24"/>
      <c r="G1952" s="24"/>
      <c r="I1952" s="13" t="str">
        <f>IFERROR(__xludf.DUMMYFUNCTION("if(isblank(A1952),,split(A1952,""-""))"),"")</f>
        <v/>
      </c>
      <c r="K1952" s="13" t="str">
        <f>IFERROR(__xludf.DUMMYFUNCTION("if(isblank(B1952),,split(B1952,""-""))"),"")</f>
        <v/>
      </c>
    </row>
    <row r="1953">
      <c r="A1953" s="132"/>
      <c r="B1953" s="41"/>
      <c r="C1953" s="9"/>
      <c r="D1953" s="133"/>
      <c r="E1953" s="133"/>
      <c r="F1953" s="24"/>
      <c r="G1953" s="24"/>
      <c r="I1953" s="13" t="str">
        <f>IFERROR(__xludf.DUMMYFUNCTION("if(isblank(A1953),,split(A1953,""-""))"),"")</f>
        <v/>
      </c>
      <c r="K1953" s="13" t="str">
        <f>IFERROR(__xludf.DUMMYFUNCTION("if(isblank(B1953),,split(B1953,""-""))"),"")</f>
        <v/>
      </c>
    </row>
    <row r="1954">
      <c r="A1954" s="132"/>
      <c r="B1954" s="41"/>
      <c r="C1954" s="9"/>
      <c r="D1954" s="133"/>
      <c r="E1954" s="133"/>
      <c r="F1954" s="24"/>
      <c r="G1954" s="24"/>
      <c r="I1954" s="13" t="str">
        <f>IFERROR(__xludf.DUMMYFUNCTION("if(isblank(A1954),,split(A1954,""-""))"),"")</f>
        <v/>
      </c>
      <c r="K1954" s="13" t="str">
        <f>IFERROR(__xludf.DUMMYFUNCTION("if(isblank(B1954),,split(B1954,""-""))"),"")</f>
        <v/>
      </c>
    </row>
    <row r="1955">
      <c r="A1955" s="132"/>
      <c r="B1955" s="41"/>
      <c r="C1955" s="9"/>
      <c r="D1955" s="133"/>
      <c r="E1955" s="133"/>
      <c r="F1955" s="24"/>
      <c r="G1955" s="24"/>
      <c r="I1955" s="13" t="str">
        <f>IFERROR(__xludf.DUMMYFUNCTION("if(isblank(A1955),,split(A1955,""-""))"),"")</f>
        <v/>
      </c>
      <c r="K1955" s="13" t="str">
        <f>IFERROR(__xludf.DUMMYFUNCTION("if(isblank(B1955),,split(B1955,""-""))"),"")</f>
        <v/>
      </c>
    </row>
    <row r="1956">
      <c r="A1956" s="132"/>
      <c r="B1956" s="41"/>
      <c r="C1956" s="9"/>
      <c r="D1956" s="133"/>
      <c r="E1956" s="133"/>
      <c r="F1956" s="24"/>
      <c r="G1956" s="24"/>
      <c r="I1956" s="13" t="str">
        <f>IFERROR(__xludf.DUMMYFUNCTION("if(isblank(A1956),,split(A1956,""-""))"),"")</f>
        <v/>
      </c>
      <c r="K1956" s="13" t="str">
        <f>IFERROR(__xludf.DUMMYFUNCTION("if(isblank(B1956),,split(B1956,""-""))"),"")</f>
        <v/>
      </c>
    </row>
    <row r="1957">
      <c r="A1957" s="132"/>
      <c r="B1957" s="41"/>
      <c r="C1957" s="9"/>
      <c r="D1957" s="133"/>
      <c r="E1957" s="133"/>
      <c r="F1957" s="24"/>
      <c r="G1957" s="24"/>
      <c r="I1957" s="13" t="str">
        <f>IFERROR(__xludf.DUMMYFUNCTION("if(isblank(A1957),,split(A1957,""-""))"),"")</f>
        <v/>
      </c>
      <c r="K1957" s="13" t="str">
        <f>IFERROR(__xludf.DUMMYFUNCTION("if(isblank(B1957),,split(B1957,""-""))"),"")</f>
        <v/>
      </c>
    </row>
    <row r="1958">
      <c r="A1958" s="132"/>
      <c r="B1958" s="41"/>
      <c r="C1958" s="9"/>
      <c r="D1958" s="133"/>
      <c r="E1958" s="133"/>
      <c r="F1958" s="24"/>
      <c r="G1958" s="24"/>
      <c r="I1958" s="13" t="str">
        <f>IFERROR(__xludf.DUMMYFUNCTION("if(isblank(A1958),,split(A1958,""-""))"),"")</f>
        <v/>
      </c>
      <c r="K1958" s="13" t="str">
        <f>IFERROR(__xludf.DUMMYFUNCTION("if(isblank(B1958),,split(B1958,""-""))"),"")</f>
        <v/>
      </c>
    </row>
    <row r="1959">
      <c r="A1959" s="132"/>
      <c r="B1959" s="41"/>
      <c r="C1959" s="9"/>
      <c r="D1959" s="133"/>
      <c r="E1959" s="133"/>
      <c r="F1959" s="24"/>
      <c r="G1959" s="24"/>
      <c r="I1959" s="13" t="str">
        <f>IFERROR(__xludf.DUMMYFUNCTION("if(isblank(A1959),,split(A1959,""-""))"),"")</f>
        <v/>
      </c>
      <c r="K1959" s="13" t="str">
        <f>IFERROR(__xludf.DUMMYFUNCTION("if(isblank(B1959),,split(B1959,""-""))"),"")</f>
        <v/>
      </c>
    </row>
    <row r="1960">
      <c r="A1960" s="132"/>
      <c r="B1960" s="41"/>
      <c r="C1960" s="9"/>
      <c r="D1960" s="133"/>
      <c r="E1960" s="133"/>
      <c r="F1960" s="24"/>
      <c r="G1960" s="24"/>
      <c r="I1960" s="13" t="str">
        <f>IFERROR(__xludf.DUMMYFUNCTION("if(isblank(A1960),,split(A1960,""-""))"),"")</f>
        <v/>
      </c>
      <c r="K1960" s="13" t="str">
        <f>IFERROR(__xludf.DUMMYFUNCTION("if(isblank(B1960),,split(B1960,""-""))"),"")</f>
        <v/>
      </c>
    </row>
    <row r="1961">
      <c r="A1961" s="132"/>
      <c r="B1961" s="41"/>
      <c r="C1961" s="9"/>
      <c r="D1961" s="133"/>
      <c r="E1961" s="133"/>
      <c r="F1961" s="24"/>
      <c r="G1961" s="24"/>
      <c r="I1961" s="13" t="str">
        <f>IFERROR(__xludf.DUMMYFUNCTION("if(isblank(A1961),,split(A1961,""-""))"),"")</f>
        <v/>
      </c>
      <c r="K1961" s="13" t="str">
        <f>IFERROR(__xludf.DUMMYFUNCTION("if(isblank(B1961),,split(B1961,""-""))"),"")</f>
        <v/>
      </c>
    </row>
    <row r="1962">
      <c r="A1962" s="132"/>
      <c r="B1962" s="41"/>
      <c r="C1962" s="9"/>
      <c r="D1962" s="133"/>
      <c r="E1962" s="133"/>
      <c r="F1962" s="24"/>
      <c r="G1962" s="24"/>
      <c r="I1962" s="13" t="str">
        <f>IFERROR(__xludf.DUMMYFUNCTION("if(isblank(A1962),,split(A1962,""-""))"),"")</f>
        <v/>
      </c>
      <c r="K1962" s="13" t="str">
        <f>IFERROR(__xludf.DUMMYFUNCTION("if(isblank(B1962),,split(B1962,""-""))"),"")</f>
        <v/>
      </c>
    </row>
    <row r="1963">
      <c r="A1963" s="132"/>
      <c r="B1963" s="41"/>
      <c r="C1963" s="9"/>
      <c r="D1963" s="133"/>
      <c r="E1963" s="133"/>
      <c r="F1963" s="24"/>
      <c r="G1963" s="24"/>
      <c r="I1963" s="13" t="str">
        <f>IFERROR(__xludf.DUMMYFUNCTION("if(isblank(A1963),,split(A1963,""-""))"),"")</f>
        <v/>
      </c>
      <c r="K1963" s="13" t="str">
        <f>IFERROR(__xludf.DUMMYFUNCTION("if(isblank(B1963),,split(B1963,""-""))"),"")</f>
        <v/>
      </c>
    </row>
    <row r="1964">
      <c r="A1964" s="132"/>
      <c r="B1964" s="41"/>
      <c r="C1964" s="9"/>
      <c r="D1964" s="133"/>
      <c r="E1964" s="133"/>
      <c r="F1964" s="24"/>
      <c r="G1964" s="24"/>
      <c r="I1964" s="13" t="str">
        <f>IFERROR(__xludf.DUMMYFUNCTION("if(isblank(A1964),,split(A1964,""-""))"),"")</f>
        <v/>
      </c>
      <c r="K1964" s="13" t="str">
        <f>IFERROR(__xludf.DUMMYFUNCTION("if(isblank(B1964),,split(B1964,""-""))"),"")</f>
        <v/>
      </c>
    </row>
    <row r="1965">
      <c r="A1965" s="132"/>
      <c r="B1965" s="41"/>
      <c r="C1965" s="9"/>
      <c r="D1965" s="133"/>
      <c r="E1965" s="133"/>
      <c r="F1965" s="24"/>
      <c r="G1965" s="24"/>
      <c r="I1965" s="13" t="str">
        <f>IFERROR(__xludf.DUMMYFUNCTION("if(isblank(A1965),,split(A1965,""-""))"),"")</f>
        <v/>
      </c>
      <c r="K1965" s="13" t="str">
        <f>IFERROR(__xludf.DUMMYFUNCTION("if(isblank(B1965),,split(B1965,""-""))"),"")</f>
        <v/>
      </c>
    </row>
    <row r="1966">
      <c r="A1966" s="132"/>
      <c r="B1966" s="41"/>
      <c r="C1966" s="9"/>
      <c r="D1966" s="133"/>
      <c r="E1966" s="133"/>
      <c r="F1966" s="24"/>
      <c r="G1966" s="24"/>
      <c r="I1966" s="13" t="str">
        <f>IFERROR(__xludf.DUMMYFUNCTION("if(isblank(A1966),,split(A1966,""-""))"),"")</f>
        <v/>
      </c>
      <c r="K1966" s="13" t="str">
        <f>IFERROR(__xludf.DUMMYFUNCTION("if(isblank(B1966),,split(B1966,""-""))"),"")</f>
        <v/>
      </c>
    </row>
    <row r="1967">
      <c r="A1967" s="132"/>
      <c r="B1967" s="41"/>
      <c r="C1967" s="9"/>
      <c r="D1967" s="133"/>
      <c r="E1967" s="133"/>
      <c r="F1967" s="24"/>
      <c r="G1967" s="24"/>
      <c r="I1967" s="13" t="str">
        <f>IFERROR(__xludf.DUMMYFUNCTION("if(isblank(A1967),,split(A1967,""-""))"),"")</f>
        <v/>
      </c>
      <c r="K1967" s="13" t="str">
        <f>IFERROR(__xludf.DUMMYFUNCTION("if(isblank(B1967),,split(B1967,""-""))"),"")</f>
        <v/>
      </c>
    </row>
    <row r="1968">
      <c r="A1968" s="132"/>
      <c r="B1968" s="41"/>
      <c r="C1968" s="9"/>
      <c r="D1968" s="133"/>
      <c r="E1968" s="133"/>
      <c r="F1968" s="24"/>
      <c r="G1968" s="24"/>
      <c r="I1968" s="13" t="str">
        <f>IFERROR(__xludf.DUMMYFUNCTION("if(isblank(A1968),,split(A1968,""-""))"),"")</f>
        <v/>
      </c>
      <c r="K1968" s="13" t="str">
        <f>IFERROR(__xludf.DUMMYFUNCTION("if(isblank(B1968),,split(B1968,""-""))"),"")</f>
        <v/>
      </c>
    </row>
    <row r="1969">
      <c r="A1969" s="132"/>
      <c r="B1969" s="41"/>
      <c r="C1969" s="9"/>
      <c r="D1969" s="133"/>
      <c r="E1969" s="133"/>
      <c r="F1969" s="24"/>
      <c r="G1969" s="24"/>
      <c r="I1969" s="13" t="str">
        <f>IFERROR(__xludf.DUMMYFUNCTION("if(isblank(A1969),,split(A1969,""-""))"),"")</f>
        <v/>
      </c>
      <c r="K1969" s="13" t="str">
        <f>IFERROR(__xludf.DUMMYFUNCTION("if(isblank(B1969),,split(B1969,""-""))"),"")</f>
        <v/>
      </c>
    </row>
    <row r="1970">
      <c r="A1970" s="132"/>
      <c r="B1970" s="41"/>
      <c r="C1970" s="9"/>
      <c r="D1970" s="133"/>
      <c r="E1970" s="133"/>
      <c r="F1970" s="24"/>
      <c r="G1970" s="24"/>
      <c r="I1970" s="13" t="str">
        <f>IFERROR(__xludf.DUMMYFUNCTION("if(isblank(A1970),,split(A1970,""-""))"),"")</f>
        <v/>
      </c>
      <c r="K1970" s="13" t="str">
        <f>IFERROR(__xludf.DUMMYFUNCTION("if(isblank(B1970),,split(B1970,""-""))"),"")</f>
        <v/>
      </c>
    </row>
    <row r="1971">
      <c r="A1971" s="132"/>
      <c r="B1971" s="41"/>
      <c r="C1971" s="9"/>
      <c r="D1971" s="133"/>
      <c r="E1971" s="133"/>
      <c r="F1971" s="24"/>
      <c r="G1971" s="24"/>
      <c r="I1971" s="13" t="str">
        <f>IFERROR(__xludf.DUMMYFUNCTION("if(isblank(A1971),,split(A1971,""-""))"),"")</f>
        <v/>
      </c>
      <c r="K1971" s="13" t="str">
        <f>IFERROR(__xludf.DUMMYFUNCTION("if(isblank(B1971),,split(B1971,""-""))"),"")</f>
        <v/>
      </c>
    </row>
    <row r="1972">
      <c r="A1972" s="132"/>
      <c r="B1972" s="41"/>
      <c r="C1972" s="9"/>
      <c r="D1972" s="133"/>
      <c r="E1972" s="133"/>
      <c r="F1972" s="24"/>
      <c r="G1972" s="24"/>
      <c r="I1972" s="13" t="str">
        <f>IFERROR(__xludf.DUMMYFUNCTION("if(isblank(A1972),,split(A1972,""-""))"),"")</f>
        <v/>
      </c>
      <c r="K1972" s="13" t="str">
        <f>IFERROR(__xludf.DUMMYFUNCTION("if(isblank(B1972),,split(B1972,""-""))"),"")</f>
        <v/>
      </c>
    </row>
    <row r="1973">
      <c r="A1973" s="132"/>
      <c r="B1973" s="41"/>
      <c r="C1973" s="9"/>
      <c r="D1973" s="133"/>
      <c r="E1973" s="133"/>
      <c r="F1973" s="24"/>
      <c r="G1973" s="24"/>
      <c r="I1973" s="13" t="str">
        <f>IFERROR(__xludf.DUMMYFUNCTION("if(isblank(A1973),,split(A1973,""-""))"),"")</f>
        <v/>
      </c>
      <c r="K1973" s="13" t="str">
        <f>IFERROR(__xludf.DUMMYFUNCTION("if(isblank(B1973),,split(B1973,""-""))"),"")</f>
        <v/>
      </c>
    </row>
    <row r="1974">
      <c r="A1974" s="132"/>
      <c r="B1974" s="41"/>
      <c r="C1974" s="9"/>
      <c r="D1974" s="133"/>
      <c r="E1974" s="133"/>
      <c r="F1974" s="24"/>
      <c r="G1974" s="24"/>
      <c r="I1974" s="13" t="str">
        <f>IFERROR(__xludf.DUMMYFUNCTION("if(isblank(A1974),,split(A1974,""-""))"),"")</f>
        <v/>
      </c>
      <c r="K1974" s="13" t="str">
        <f>IFERROR(__xludf.DUMMYFUNCTION("if(isblank(B1974),,split(B1974,""-""))"),"")</f>
        <v/>
      </c>
    </row>
    <row r="1975">
      <c r="A1975" s="132"/>
      <c r="B1975" s="41"/>
      <c r="C1975" s="9"/>
      <c r="D1975" s="133"/>
      <c r="E1975" s="133"/>
      <c r="F1975" s="24"/>
      <c r="G1975" s="24"/>
      <c r="I1975" s="13" t="str">
        <f>IFERROR(__xludf.DUMMYFUNCTION("if(isblank(A1975),,split(A1975,""-""))"),"")</f>
        <v/>
      </c>
      <c r="K1975" s="13" t="str">
        <f>IFERROR(__xludf.DUMMYFUNCTION("if(isblank(B1975),,split(B1975,""-""))"),"")</f>
        <v/>
      </c>
    </row>
    <row r="1976">
      <c r="A1976" s="132"/>
      <c r="B1976" s="41"/>
      <c r="C1976" s="9"/>
      <c r="D1976" s="133"/>
      <c r="E1976" s="133"/>
      <c r="F1976" s="24"/>
      <c r="G1976" s="24"/>
      <c r="I1976" s="13" t="str">
        <f>IFERROR(__xludf.DUMMYFUNCTION("if(isblank(A1976),,split(A1976,""-""))"),"")</f>
        <v/>
      </c>
      <c r="K1976" s="13" t="str">
        <f>IFERROR(__xludf.DUMMYFUNCTION("if(isblank(B1976),,split(B1976,""-""))"),"")</f>
        <v/>
      </c>
    </row>
    <row r="1977">
      <c r="A1977" s="132"/>
      <c r="B1977" s="41"/>
      <c r="C1977" s="9"/>
      <c r="D1977" s="133"/>
      <c r="E1977" s="133"/>
      <c r="F1977" s="24"/>
      <c r="G1977" s="24"/>
      <c r="I1977" s="13" t="str">
        <f>IFERROR(__xludf.DUMMYFUNCTION("if(isblank(A1977),,split(A1977,""-""))"),"")</f>
        <v/>
      </c>
      <c r="K1977" s="13" t="str">
        <f>IFERROR(__xludf.DUMMYFUNCTION("if(isblank(B1977),,split(B1977,""-""))"),"")</f>
        <v/>
      </c>
    </row>
    <row r="1978">
      <c r="A1978" s="132"/>
      <c r="B1978" s="41"/>
      <c r="C1978" s="9"/>
      <c r="D1978" s="133"/>
      <c r="E1978" s="133"/>
      <c r="F1978" s="24"/>
      <c r="G1978" s="24"/>
      <c r="I1978" s="13" t="str">
        <f>IFERROR(__xludf.DUMMYFUNCTION("if(isblank(A1978),,split(A1978,""-""))"),"")</f>
        <v/>
      </c>
      <c r="K1978" s="13" t="str">
        <f>IFERROR(__xludf.DUMMYFUNCTION("if(isblank(B1978),,split(B1978,""-""))"),"")</f>
        <v/>
      </c>
    </row>
    <row r="1979">
      <c r="A1979" s="132"/>
      <c r="B1979" s="41"/>
      <c r="C1979" s="9"/>
      <c r="D1979" s="133"/>
      <c r="E1979" s="133"/>
      <c r="F1979" s="24"/>
      <c r="G1979" s="24"/>
      <c r="I1979" s="13" t="str">
        <f>IFERROR(__xludf.DUMMYFUNCTION("if(isblank(A1979),,split(A1979,""-""))"),"")</f>
        <v/>
      </c>
      <c r="K1979" s="13" t="str">
        <f>IFERROR(__xludf.DUMMYFUNCTION("if(isblank(B1979),,split(B1979,""-""))"),"")</f>
        <v/>
      </c>
    </row>
    <row r="1980">
      <c r="A1980" s="132"/>
      <c r="B1980" s="41"/>
      <c r="C1980" s="9"/>
      <c r="D1980" s="133"/>
      <c r="E1980" s="133"/>
      <c r="F1980" s="24"/>
      <c r="G1980" s="24"/>
      <c r="I1980" s="13" t="str">
        <f>IFERROR(__xludf.DUMMYFUNCTION("if(isblank(A1980),,split(A1980,""-""))"),"")</f>
        <v/>
      </c>
      <c r="K1980" s="13" t="str">
        <f>IFERROR(__xludf.DUMMYFUNCTION("if(isblank(B1980),,split(B1980,""-""))"),"")</f>
        <v/>
      </c>
    </row>
    <row r="1981">
      <c r="A1981" s="132"/>
      <c r="B1981" s="41"/>
      <c r="C1981" s="9"/>
      <c r="D1981" s="133"/>
      <c r="E1981" s="133"/>
      <c r="F1981" s="24"/>
      <c r="G1981" s="24"/>
      <c r="I1981" s="13" t="str">
        <f>IFERROR(__xludf.DUMMYFUNCTION("if(isblank(A1981),,split(A1981,""-""))"),"")</f>
        <v/>
      </c>
      <c r="K1981" s="13" t="str">
        <f>IFERROR(__xludf.DUMMYFUNCTION("if(isblank(B1981),,split(B1981,""-""))"),"")</f>
        <v/>
      </c>
    </row>
    <row r="1982">
      <c r="A1982" s="132"/>
      <c r="B1982" s="41"/>
      <c r="C1982" s="9"/>
      <c r="D1982" s="133"/>
      <c r="E1982" s="133"/>
      <c r="F1982" s="24"/>
      <c r="G1982" s="24"/>
      <c r="I1982" s="13" t="str">
        <f>IFERROR(__xludf.DUMMYFUNCTION("if(isblank(A1982),,split(A1982,""-""))"),"")</f>
        <v/>
      </c>
      <c r="K1982" s="13" t="str">
        <f>IFERROR(__xludf.DUMMYFUNCTION("if(isblank(B1982),,split(B1982,""-""))"),"")</f>
        <v/>
      </c>
    </row>
    <row r="1983">
      <c r="A1983" s="132"/>
      <c r="B1983" s="41"/>
      <c r="C1983" s="9"/>
      <c r="D1983" s="133"/>
      <c r="E1983" s="133"/>
      <c r="F1983" s="24"/>
      <c r="G1983" s="24"/>
      <c r="I1983" s="13" t="str">
        <f>IFERROR(__xludf.DUMMYFUNCTION("if(isblank(A1983),,split(A1983,""-""))"),"")</f>
        <v/>
      </c>
      <c r="K1983" s="13" t="str">
        <f>IFERROR(__xludf.DUMMYFUNCTION("if(isblank(B1983),,split(B1983,""-""))"),"")</f>
        <v/>
      </c>
    </row>
    <row r="1984">
      <c r="A1984" s="132"/>
      <c r="B1984" s="41"/>
      <c r="C1984" s="9"/>
      <c r="D1984" s="133"/>
      <c r="E1984" s="133"/>
      <c r="F1984" s="24"/>
      <c r="G1984" s="24"/>
      <c r="I1984" s="13" t="str">
        <f>IFERROR(__xludf.DUMMYFUNCTION("if(isblank(A1984),,split(A1984,""-""))"),"")</f>
        <v/>
      </c>
      <c r="K1984" s="13" t="str">
        <f>IFERROR(__xludf.DUMMYFUNCTION("if(isblank(B1984),,split(B1984,""-""))"),"")</f>
        <v/>
      </c>
    </row>
    <row r="1985">
      <c r="A1985" s="132"/>
      <c r="B1985" s="41"/>
      <c r="C1985" s="9"/>
      <c r="D1985" s="133"/>
      <c r="E1985" s="133"/>
      <c r="F1985" s="24"/>
      <c r="G1985" s="24"/>
      <c r="I1985" s="13" t="str">
        <f>IFERROR(__xludf.DUMMYFUNCTION("if(isblank(A1985),,split(A1985,""-""))"),"")</f>
        <v/>
      </c>
      <c r="K1985" s="13" t="str">
        <f>IFERROR(__xludf.DUMMYFUNCTION("if(isblank(B1985),,split(B1985,""-""))"),"")</f>
        <v/>
      </c>
    </row>
    <row r="1986">
      <c r="A1986" s="132"/>
      <c r="B1986" s="41"/>
      <c r="C1986" s="9"/>
      <c r="D1986" s="133"/>
      <c r="E1986" s="133"/>
      <c r="F1986" s="24"/>
      <c r="G1986" s="24"/>
      <c r="I1986" s="13" t="str">
        <f>IFERROR(__xludf.DUMMYFUNCTION("if(isblank(A1986),,split(A1986,""-""))"),"")</f>
        <v/>
      </c>
      <c r="K1986" s="13" t="str">
        <f>IFERROR(__xludf.DUMMYFUNCTION("if(isblank(B1986),,split(B1986,""-""))"),"")</f>
        <v/>
      </c>
    </row>
    <row r="1987">
      <c r="A1987" s="132"/>
      <c r="B1987" s="41"/>
      <c r="C1987" s="9"/>
      <c r="D1987" s="133"/>
      <c r="E1987" s="133"/>
      <c r="F1987" s="24"/>
      <c r="G1987" s="24"/>
      <c r="I1987" s="13" t="str">
        <f>IFERROR(__xludf.DUMMYFUNCTION("if(isblank(A1987),,split(A1987,""-""))"),"")</f>
        <v/>
      </c>
      <c r="K1987" s="13" t="str">
        <f>IFERROR(__xludf.DUMMYFUNCTION("if(isblank(B1987),,split(B1987,""-""))"),"")</f>
        <v/>
      </c>
    </row>
    <row r="1988">
      <c r="A1988" s="132"/>
      <c r="B1988" s="41"/>
      <c r="C1988" s="9"/>
      <c r="D1988" s="133"/>
      <c r="E1988" s="133"/>
      <c r="F1988" s="24"/>
      <c r="G1988" s="24"/>
      <c r="I1988" s="13" t="str">
        <f>IFERROR(__xludf.DUMMYFUNCTION("if(isblank(A1988),,split(A1988,""-""))"),"")</f>
        <v/>
      </c>
      <c r="K1988" s="13" t="str">
        <f>IFERROR(__xludf.DUMMYFUNCTION("if(isblank(B1988),,split(B1988,""-""))"),"")</f>
        <v/>
      </c>
    </row>
    <row r="1989">
      <c r="A1989" s="132"/>
      <c r="B1989" s="41"/>
      <c r="C1989" s="9"/>
      <c r="D1989" s="133"/>
      <c r="E1989" s="133"/>
      <c r="F1989" s="24"/>
      <c r="G1989" s="24"/>
      <c r="I1989" s="13" t="str">
        <f>IFERROR(__xludf.DUMMYFUNCTION("if(isblank(A1989),,split(A1989,""-""))"),"")</f>
        <v/>
      </c>
      <c r="K1989" s="13" t="str">
        <f>IFERROR(__xludf.DUMMYFUNCTION("if(isblank(B1989),,split(B1989,""-""))"),"")</f>
        <v/>
      </c>
    </row>
    <row r="1990">
      <c r="A1990" s="132"/>
      <c r="B1990" s="41"/>
      <c r="C1990" s="9"/>
      <c r="D1990" s="133"/>
      <c r="E1990" s="133"/>
      <c r="F1990" s="24"/>
      <c r="G1990" s="24"/>
      <c r="I1990" s="13" t="str">
        <f>IFERROR(__xludf.DUMMYFUNCTION("if(isblank(A1990),,split(A1990,""-""))"),"")</f>
        <v/>
      </c>
      <c r="K1990" s="13" t="str">
        <f>IFERROR(__xludf.DUMMYFUNCTION("if(isblank(B1990),,split(B1990,""-""))"),"")</f>
        <v/>
      </c>
    </row>
    <row r="1991">
      <c r="A1991" s="132"/>
      <c r="B1991" s="41"/>
      <c r="C1991" s="9"/>
      <c r="D1991" s="133"/>
      <c r="E1991" s="133"/>
      <c r="F1991" s="24"/>
      <c r="G1991" s="24"/>
      <c r="I1991" s="13" t="str">
        <f>IFERROR(__xludf.DUMMYFUNCTION("if(isblank(A1991),,split(A1991,""-""))"),"")</f>
        <v/>
      </c>
      <c r="K1991" s="13" t="str">
        <f>IFERROR(__xludf.DUMMYFUNCTION("if(isblank(B1991),,split(B1991,""-""))"),"")</f>
        <v/>
      </c>
    </row>
    <row r="1992">
      <c r="A1992" s="132"/>
      <c r="B1992" s="41"/>
      <c r="C1992" s="9"/>
      <c r="D1992" s="133"/>
      <c r="E1992" s="133"/>
      <c r="F1992" s="24"/>
      <c r="G1992" s="24"/>
      <c r="I1992" s="13" t="str">
        <f>IFERROR(__xludf.DUMMYFUNCTION("if(isblank(A1992),,split(A1992,""-""))"),"")</f>
        <v/>
      </c>
      <c r="K1992" s="13" t="str">
        <f>IFERROR(__xludf.DUMMYFUNCTION("if(isblank(B1992),,split(B1992,""-""))"),"")</f>
        <v/>
      </c>
    </row>
    <row r="1993">
      <c r="A1993" s="132"/>
      <c r="B1993" s="41"/>
      <c r="C1993" s="9"/>
      <c r="D1993" s="133"/>
      <c r="E1993" s="133"/>
      <c r="F1993" s="24"/>
      <c r="G1993" s="24"/>
      <c r="I1993" s="13" t="str">
        <f>IFERROR(__xludf.DUMMYFUNCTION("if(isblank(A1993),,split(A1993,""-""))"),"")</f>
        <v/>
      </c>
      <c r="K1993" s="13" t="str">
        <f>IFERROR(__xludf.DUMMYFUNCTION("if(isblank(B1993),,split(B1993,""-""))"),"")</f>
        <v/>
      </c>
    </row>
    <row r="1994">
      <c r="A1994" s="132"/>
      <c r="B1994" s="41"/>
      <c r="C1994" s="9"/>
      <c r="D1994" s="133"/>
      <c r="E1994" s="133"/>
      <c r="F1994" s="24"/>
      <c r="G1994" s="24"/>
      <c r="I1994" s="13" t="str">
        <f>IFERROR(__xludf.DUMMYFUNCTION("if(isblank(A1994),,split(A1994,""-""))"),"")</f>
        <v/>
      </c>
      <c r="K1994" s="13" t="str">
        <f>IFERROR(__xludf.DUMMYFUNCTION("if(isblank(B1994),,split(B1994,""-""))"),"")</f>
        <v/>
      </c>
    </row>
    <row r="1995">
      <c r="A1995" s="132"/>
      <c r="B1995" s="41"/>
      <c r="C1995" s="9"/>
      <c r="D1995" s="133"/>
      <c r="E1995" s="133"/>
      <c r="F1995" s="24"/>
      <c r="G1995" s="24"/>
      <c r="I1995" s="13" t="str">
        <f>IFERROR(__xludf.DUMMYFUNCTION("if(isblank(A1995),,split(A1995,""-""))"),"")</f>
        <v/>
      </c>
      <c r="K1995" s="13" t="str">
        <f>IFERROR(__xludf.DUMMYFUNCTION("if(isblank(B1995),,split(B1995,""-""))"),"")</f>
        <v/>
      </c>
    </row>
    <row r="1996">
      <c r="A1996" s="132"/>
      <c r="B1996" s="41"/>
      <c r="C1996" s="9"/>
      <c r="D1996" s="133"/>
      <c r="E1996" s="133"/>
      <c r="F1996" s="24"/>
      <c r="G1996" s="24"/>
      <c r="I1996" s="13" t="str">
        <f>IFERROR(__xludf.DUMMYFUNCTION("if(isblank(A1996),,split(A1996,""-""))"),"")</f>
        <v/>
      </c>
      <c r="K1996" s="13" t="str">
        <f>IFERROR(__xludf.DUMMYFUNCTION("if(isblank(B1996),,split(B1996,""-""))"),"")</f>
        <v/>
      </c>
    </row>
    <row r="1997">
      <c r="A1997" s="132"/>
      <c r="B1997" s="41"/>
      <c r="C1997" s="9"/>
      <c r="D1997" s="133"/>
      <c r="E1997" s="133"/>
      <c r="F1997" s="24"/>
      <c r="G1997" s="24"/>
      <c r="I1997" s="13" t="str">
        <f>IFERROR(__xludf.DUMMYFUNCTION("if(isblank(A1997),,split(A1997,""-""))"),"")</f>
        <v/>
      </c>
      <c r="K1997" s="13" t="str">
        <f>IFERROR(__xludf.DUMMYFUNCTION("if(isblank(B1997),,split(B1997,""-""))"),"")</f>
        <v/>
      </c>
    </row>
    <row r="1998">
      <c r="A1998" s="132"/>
      <c r="B1998" s="41"/>
      <c r="C1998" s="9"/>
      <c r="D1998" s="133"/>
      <c r="E1998" s="133"/>
      <c r="F1998" s="24"/>
      <c r="G1998" s="24"/>
      <c r="I1998" s="13" t="str">
        <f>IFERROR(__xludf.DUMMYFUNCTION("if(isblank(A1998),,split(A1998,""-""))"),"")</f>
        <v/>
      </c>
      <c r="K1998" s="13" t="str">
        <f>IFERROR(__xludf.DUMMYFUNCTION("if(isblank(B1998),,split(B1998,""-""))"),"")</f>
        <v/>
      </c>
    </row>
    <row r="1999">
      <c r="A1999" s="132"/>
      <c r="B1999" s="41"/>
      <c r="C1999" s="9"/>
      <c r="D1999" s="133"/>
      <c r="E1999" s="133"/>
      <c r="F1999" s="24"/>
      <c r="G1999" s="24"/>
      <c r="I1999" s="13" t="str">
        <f>IFERROR(__xludf.DUMMYFUNCTION("if(isblank(A1999),,split(A1999,""-""))"),"")</f>
        <v/>
      </c>
      <c r="K1999" s="13" t="str">
        <f>IFERROR(__xludf.DUMMYFUNCTION("if(isblank(B1999),,split(B1999,""-""))"),"")</f>
        <v/>
      </c>
    </row>
    <row r="2000">
      <c r="A2000" s="132"/>
      <c r="B2000" s="41"/>
      <c r="C2000" s="9"/>
      <c r="D2000" s="133"/>
      <c r="E2000" s="133"/>
      <c r="F2000" s="24"/>
      <c r="G2000" s="24"/>
      <c r="I2000" s="13" t="str">
        <f>IFERROR(__xludf.DUMMYFUNCTION("if(isblank(A2000),,split(A2000,""-""))"),"")</f>
        <v/>
      </c>
      <c r="K2000" s="13" t="str">
        <f>IFERROR(__xludf.DUMMYFUNCTION("if(isblank(B2000),,split(B2000,""-""))"),"")</f>
        <v/>
      </c>
    </row>
    <row r="2001">
      <c r="A2001" s="132"/>
      <c r="B2001" s="41"/>
      <c r="C2001" s="9"/>
      <c r="D2001" s="133"/>
      <c r="E2001" s="133"/>
      <c r="F2001" s="24"/>
      <c r="G2001" s="24"/>
      <c r="I2001" s="13" t="str">
        <f>IFERROR(__xludf.DUMMYFUNCTION("if(isblank(A2001),,split(A2001,""-""))"),"")</f>
        <v/>
      </c>
      <c r="K2001" s="13" t="str">
        <f>IFERROR(__xludf.DUMMYFUNCTION("if(isblank(B2001),,split(B2001,""-""))"),"")</f>
        <v/>
      </c>
    </row>
    <row r="2002">
      <c r="A2002" s="132"/>
      <c r="B2002" s="41"/>
      <c r="C2002" s="9"/>
      <c r="D2002" s="133"/>
      <c r="E2002" s="133"/>
      <c r="F2002" s="24"/>
      <c r="G2002" s="24"/>
      <c r="I2002" s="13" t="str">
        <f>IFERROR(__xludf.DUMMYFUNCTION("if(isblank(A2002),,split(A2002,""-""))"),"")</f>
        <v/>
      </c>
      <c r="K2002" s="13" t="str">
        <f>IFERROR(__xludf.DUMMYFUNCTION("if(isblank(B2002),,split(B2002,""-""))"),"")</f>
        <v/>
      </c>
    </row>
    <row r="2003">
      <c r="A2003" s="132"/>
      <c r="B2003" s="41"/>
      <c r="C2003" s="9"/>
      <c r="D2003" s="133"/>
      <c r="E2003" s="133"/>
      <c r="F2003" s="24"/>
      <c r="G2003" s="24"/>
      <c r="I2003" s="13" t="str">
        <f>IFERROR(__xludf.DUMMYFUNCTION("if(isblank(A2003),,split(A2003,""-""))"),"")</f>
        <v/>
      </c>
      <c r="K2003" s="13" t="str">
        <f>IFERROR(__xludf.DUMMYFUNCTION("if(isblank(B2003),,split(B2003,""-""))"),"")</f>
        <v/>
      </c>
    </row>
    <row r="2004">
      <c r="A2004" s="132"/>
      <c r="B2004" s="41"/>
      <c r="C2004" s="9"/>
      <c r="D2004" s="133"/>
      <c r="E2004" s="133"/>
      <c r="F2004" s="24"/>
      <c r="G2004" s="24"/>
      <c r="I2004" s="13" t="str">
        <f>IFERROR(__xludf.DUMMYFUNCTION("if(isblank(A2004),,split(A2004,""-""))"),"")</f>
        <v/>
      </c>
      <c r="K2004" s="13" t="str">
        <f>IFERROR(__xludf.DUMMYFUNCTION("if(isblank(B2004),,split(B2004,""-""))"),"")</f>
        <v/>
      </c>
    </row>
    <row r="2005">
      <c r="A2005" s="132"/>
      <c r="B2005" s="41"/>
      <c r="C2005" s="9"/>
      <c r="D2005" s="133"/>
      <c r="E2005" s="133"/>
      <c r="F2005" s="24"/>
      <c r="G2005" s="24"/>
      <c r="I2005" s="13" t="str">
        <f>IFERROR(__xludf.DUMMYFUNCTION("if(isblank(A2005),,split(A2005,""-""))"),"")</f>
        <v/>
      </c>
      <c r="K2005" s="13" t="str">
        <f>IFERROR(__xludf.DUMMYFUNCTION("if(isblank(B2005),,split(B2005,""-""))"),"")</f>
        <v/>
      </c>
    </row>
    <row r="2006">
      <c r="A2006" s="132"/>
      <c r="B2006" s="41"/>
      <c r="C2006" s="9"/>
      <c r="D2006" s="133"/>
      <c r="E2006" s="133"/>
      <c r="F2006" s="24"/>
      <c r="G2006" s="24"/>
      <c r="I2006" s="13" t="str">
        <f>IFERROR(__xludf.DUMMYFUNCTION("if(isblank(A2006),,split(A2006,""-""))"),"")</f>
        <v/>
      </c>
      <c r="K2006" s="13" t="str">
        <f>IFERROR(__xludf.DUMMYFUNCTION("if(isblank(B2006),,split(B2006,""-""))"),"")</f>
        <v/>
      </c>
    </row>
    <row r="2007">
      <c r="A2007" s="132"/>
      <c r="B2007" s="41"/>
      <c r="C2007" s="9"/>
      <c r="D2007" s="133"/>
      <c r="E2007" s="133"/>
      <c r="F2007" s="24"/>
      <c r="G2007" s="24"/>
      <c r="I2007" s="13" t="str">
        <f>IFERROR(__xludf.DUMMYFUNCTION("if(isblank(A2007),,split(A2007,""-""))"),"")</f>
        <v/>
      </c>
      <c r="K2007" s="13" t="str">
        <f>IFERROR(__xludf.DUMMYFUNCTION("if(isblank(B2007),,split(B2007,""-""))"),"")</f>
        <v/>
      </c>
    </row>
    <row r="2008">
      <c r="A2008" s="132"/>
      <c r="B2008" s="41"/>
      <c r="C2008" s="9"/>
      <c r="D2008" s="133"/>
      <c r="E2008" s="133"/>
      <c r="F2008" s="24"/>
      <c r="G2008" s="24"/>
      <c r="I2008" s="13" t="str">
        <f>IFERROR(__xludf.DUMMYFUNCTION("if(isblank(A2008),,split(A2008,""-""))"),"")</f>
        <v/>
      </c>
      <c r="K2008" s="13" t="str">
        <f>IFERROR(__xludf.DUMMYFUNCTION("if(isblank(B2008),,split(B2008,""-""))"),"")</f>
        <v/>
      </c>
    </row>
    <row r="2009">
      <c r="A2009" s="132"/>
      <c r="B2009" s="41"/>
      <c r="C2009" s="9"/>
      <c r="D2009" s="133"/>
      <c r="E2009" s="133"/>
      <c r="F2009" s="24"/>
      <c r="G2009" s="24"/>
      <c r="I2009" s="13" t="str">
        <f>IFERROR(__xludf.DUMMYFUNCTION("if(isblank(A2009),,split(A2009,""-""))"),"")</f>
        <v/>
      </c>
      <c r="K2009" s="13" t="str">
        <f>IFERROR(__xludf.DUMMYFUNCTION("if(isblank(B2009),,split(B2009,""-""))"),"")</f>
        <v/>
      </c>
    </row>
    <row r="2010">
      <c r="A2010" s="132"/>
      <c r="B2010" s="41"/>
      <c r="C2010" s="9"/>
      <c r="D2010" s="133"/>
      <c r="E2010" s="133"/>
      <c r="F2010" s="24"/>
      <c r="G2010" s="24"/>
      <c r="I2010" s="13" t="str">
        <f>IFERROR(__xludf.DUMMYFUNCTION("if(isblank(A2010),,split(A2010,""-""))"),"")</f>
        <v/>
      </c>
      <c r="K2010" s="13" t="str">
        <f>IFERROR(__xludf.DUMMYFUNCTION("if(isblank(B2010),,split(B2010,""-""))"),"")</f>
        <v/>
      </c>
    </row>
    <row r="2011">
      <c r="A2011" s="132"/>
      <c r="B2011" s="41"/>
      <c r="C2011" s="9"/>
      <c r="D2011" s="133"/>
      <c r="E2011" s="133"/>
      <c r="F2011" s="24"/>
      <c r="G2011" s="24"/>
      <c r="I2011" s="13" t="str">
        <f>IFERROR(__xludf.DUMMYFUNCTION("if(isblank(A2011),,split(A2011,""-""))"),"")</f>
        <v/>
      </c>
      <c r="K2011" s="13" t="str">
        <f>IFERROR(__xludf.DUMMYFUNCTION("if(isblank(B2011),,split(B2011,""-""))"),"")</f>
        <v/>
      </c>
    </row>
    <row r="2012">
      <c r="A2012" s="132"/>
      <c r="B2012" s="41"/>
      <c r="C2012" s="9"/>
      <c r="D2012" s="133"/>
      <c r="E2012" s="133"/>
      <c r="F2012" s="24"/>
      <c r="G2012" s="24"/>
      <c r="I2012" s="13" t="str">
        <f>IFERROR(__xludf.DUMMYFUNCTION("if(isblank(A2012),,split(A2012,""-""))"),"")</f>
        <v/>
      </c>
      <c r="K2012" s="13" t="str">
        <f>IFERROR(__xludf.DUMMYFUNCTION("if(isblank(B2012),,split(B2012,""-""))"),"")</f>
        <v/>
      </c>
    </row>
    <row r="2013">
      <c r="A2013" s="132"/>
      <c r="B2013" s="41"/>
      <c r="C2013" s="9"/>
      <c r="D2013" s="133"/>
      <c r="E2013" s="133"/>
      <c r="F2013" s="24"/>
      <c r="G2013" s="24"/>
      <c r="I2013" s="13" t="str">
        <f>IFERROR(__xludf.DUMMYFUNCTION("if(isblank(A2013),,split(A2013,""-""))"),"")</f>
        <v/>
      </c>
      <c r="K2013" s="13" t="str">
        <f>IFERROR(__xludf.DUMMYFUNCTION("if(isblank(B2013),,split(B2013,""-""))"),"")</f>
        <v/>
      </c>
    </row>
    <row r="2014">
      <c r="A2014" s="132"/>
      <c r="B2014" s="41"/>
      <c r="C2014" s="9"/>
      <c r="D2014" s="133"/>
      <c r="E2014" s="133"/>
      <c r="F2014" s="24"/>
      <c r="G2014" s="24"/>
      <c r="I2014" s="13" t="str">
        <f>IFERROR(__xludf.DUMMYFUNCTION("if(isblank(A2014),,split(A2014,""-""))"),"")</f>
        <v/>
      </c>
      <c r="K2014" s="13" t="str">
        <f>IFERROR(__xludf.DUMMYFUNCTION("if(isblank(B2014),,split(B2014,""-""))"),"")</f>
        <v/>
      </c>
    </row>
    <row r="2015">
      <c r="A2015" s="132"/>
      <c r="B2015" s="41"/>
      <c r="C2015" s="9"/>
      <c r="D2015" s="133"/>
      <c r="E2015" s="133"/>
      <c r="F2015" s="24"/>
      <c r="G2015" s="24"/>
      <c r="I2015" s="13" t="str">
        <f>IFERROR(__xludf.DUMMYFUNCTION("if(isblank(A2015),,split(A2015,""-""))"),"")</f>
        <v/>
      </c>
      <c r="K2015" s="13" t="str">
        <f>IFERROR(__xludf.DUMMYFUNCTION("if(isblank(B2015),,split(B2015,""-""))"),"")</f>
        <v/>
      </c>
    </row>
    <row r="2016">
      <c r="A2016" s="132"/>
      <c r="B2016" s="41"/>
      <c r="C2016" s="9"/>
      <c r="D2016" s="133"/>
      <c r="E2016" s="133"/>
      <c r="F2016" s="24"/>
      <c r="G2016" s="24"/>
      <c r="I2016" s="13" t="str">
        <f>IFERROR(__xludf.DUMMYFUNCTION("if(isblank(A2016),,split(A2016,""-""))"),"")</f>
        <v/>
      </c>
      <c r="K2016" s="13" t="str">
        <f>IFERROR(__xludf.DUMMYFUNCTION("if(isblank(B2016),,split(B2016,""-""))"),"")</f>
        <v/>
      </c>
    </row>
    <row r="2017">
      <c r="A2017" s="132"/>
      <c r="B2017" s="41"/>
      <c r="C2017" s="9"/>
      <c r="D2017" s="133"/>
      <c r="E2017" s="133"/>
      <c r="F2017" s="24"/>
      <c r="G2017" s="24"/>
      <c r="I2017" s="13" t="str">
        <f>IFERROR(__xludf.DUMMYFUNCTION("if(isblank(A2017),,split(A2017,""-""))"),"")</f>
        <v/>
      </c>
      <c r="K2017" s="13" t="str">
        <f>IFERROR(__xludf.DUMMYFUNCTION("if(isblank(B2017),,split(B2017,""-""))"),"")</f>
        <v/>
      </c>
    </row>
    <row r="2018">
      <c r="A2018" s="132"/>
      <c r="B2018" s="41"/>
      <c r="C2018" s="9"/>
      <c r="D2018" s="133"/>
      <c r="E2018" s="133"/>
      <c r="F2018" s="24"/>
      <c r="G2018" s="24"/>
      <c r="I2018" s="13" t="str">
        <f>IFERROR(__xludf.DUMMYFUNCTION("if(isblank(A2018),,split(A2018,""-""))"),"")</f>
        <v/>
      </c>
      <c r="K2018" s="13" t="str">
        <f>IFERROR(__xludf.DUMMYFUNCTION("if(isblank(B2018),,split(B2018,""-""))"),"")</f>
        <v/>
      </c>
    </row>
    <row r="2019">
      <c r="A2019" s="132"/>
      <c r="B2019" s="41"/>
      <c r="C2019" s="9"/>
      <c r="D2019" s="133"/>
      <c r="E2019" s="133"/>
      <c r="F2019" s="24"/>
      <c r="G2019" s="24"/>
      <c r="I2019" s="13" t="str">
        <f>IFERROR(__xludf.DUMMYFUNCTION("if(isblank(A2019),,split(A2019,""-""))"),"")</f>
        <v/>
      </c>
      <c r="K2019" s="13" t="str">
        <f>IFERROR(__xludf.DUMMYFUNCTION("if(isblank(B2019),,split(B2019,""-""))"),"")</f>
        <v/>
      </c>
    </row>
    <row r="2020">
      <c r="A2020" s="132"/>
      <c r="B2020" s="41"/>
      <c r="C2020" s="9"/>
      <c r="D2020" s="133"/>
      <c r="E2020" s="133"/>
      <c r="F2020" s="24"/>
      <c r="G2020" s="24"/>
      <c r="I2020" s="13" t="str">
        <f>IFERROR(__xludf.DUMMYFUNCTION("if(isblank(A2020),,split(A2020,""-""))"),"")</f>
        <v/>
      </c>
      <c r="K2020" s="13" t="str">
        <f>IFERROR(__xludf.DUMMYFUNCTION("if(isblank(B2020),,split(B2020,""-""))"),"")</f>
        <v/>
      </c>
    </row>
    <row r="2021">
      <c r="A2021" s="132"/>
      <c r="B2021" s="41"/>
      <c r="C2021" s="9"/>
      <c r="D2021" s="133"/>
      <c r="E2021" s="133"/>
      <c r="F2021" s="24"/>
      <c r="G2021" s="24"/>
      <c r="I2021" s="13" t="str">
        <f>IFERROR(__xludf.DUMMYFUNCTION("if(isblank(A2021),,split(A2021,""-""))"),"")</f>
        <v/>
      </c>
      <c r="K2021" s="13" t="str">
        <f>IFERROR(__xludf.DUMMYFUNCTION("if(isblank(B2021),,split(B2021,""-""))"),"")</f>
        <v/>
      </c>
    </row>
    <row r="2022">
      <c r="A2022" s="132"/>
      <c r="B2022" s="41"/>
      <c r="C2022" s="9"/>
      <c r="D2022" s="133"/>
      <c r="E2022" s="133"/>
      <c r="F2022" s="24"/>
      <c r="G2022" s="24"/>
      <c r="I2022" s="13" t="str">
        <f>IFERROR(__xludf.DUMMYFUNCTION("if(isblank(A2022),,split(A2022,""-""))"),"")</f>
        <v/>
      </c>
      <c r="K2022" s="13" t="str">
        <f>IFERROR(__xludf.DUMMYFUNCTION("if(isblank(B2022),,split(B2022,""-""))"),"")</f>
        <v/>
      </c>
    </row>
    <row r="2023">
      <c r="A2023" s="132"/>
      <c r="B2023" s="41"/>
      <c r="C2023" s="9"/>
      <c r="D2023" s="133"/>
      <c r="E2023" s="133"/>
      <c r="F2023" s="24"/>
      <c r="G2023" s="24"/>
      <c r="I2023" s="13" t="str">
        <f>IFERROR(__xludf.DUMMYFUNCTION("if(isblank(A2023),,split(A2023,""-""))"),"")</f>
        <v/>
      </c>
      <c r="K2023" s="13" t="str">
        <f>IFERROR(__xludf.DUMMYFUNCTION("if(isblank(B2023),,split(B2023,""-""))"),"")</f>
        <v/>
      </c>
    </row>
    <row r="2024">
      <c r="A2024" s="132"/>
      <c r="B2024" s="41"/>
      <c r="C2024" s="9"/>
      <c r="D2024" s="133"/>
      <c r="E2024" s="133"/>
      <c r="F2024" s="24"/>
      <c r="G2024" s="24"/>
      <c r="I2024" s="13" t="str">
        <f>IFERROR(__xludf.DUMMYFUNCTION("if(isblank(A2024),,split(A2024,""-""))"),"")</f>
        <v/>
      </c>
      <c r="K2024" s="13" t="str">
        <f>IFERROR(__xludf.DUMMYFUNCTION("if(isblank(B2024),,split(B2024,""-""))"),"")</f>
        <v/>
      </c>
    </row>
    <row r="2025">
      <c r="A2025" s="132"/>
      <c r="B2025" s="41"/>
      <c r="C2025" s="9"/>
      <c r="D2025" s="133"/>
      <c r="E2025" s="133"/>
      <c r="F2025" s="24"/>
      <c r="G2025" s="24"/>
      <c r="I2025" s="13" t="str">
        <f>IFERROR(__xludf.DUMMYFUNCTION("if(isblank(A2025),,split(A2025,""-""))"),"")</f>
        <v/>
      </c>
      <c r="K2025" s="13" t="str">
        <f>IFERROR(__xludf.DUMMYFUNCTION("if(isblank(B2025),,split(B2025,""-""))"),"")</f>
        <v/>
      </c>
    </row>
    <row r="2026">
      <c r="A2026" s="132"/>
      <c r="B2026" s="41"/>
      <c r="C2026" s="9"/>
      <c r="D2026" s="133"/>
      <c r="E2026" s="133"/>
      <c r="F2026" s="24"/>
      <c r="G2026" s="24"/>
      <c r="I2026" s="13" t="str">
        <f>IFERROR(__xludf.DUMMYFUNCTION("if(isblank(A2026),,split(A2026,""-""))"),"")</f>
        <v/>
      </c>
      <c r="K2026" s="13" t="str">
        <f>IFERROR(__xludf.DUMMYFUNCTION("if(isblank(B2026),,split(B2026,""-""))"),"")</f>
        <v/>
      </c>
    </row>
    <row r="2027">
      <c r="A2027" s="132"/>
      <c r="B2027" s="41"/>
      <c r="C2027" s="9"/>
      <c r="D2027" s="133"/>
      <c r="E2027" s="133"/>
      <c r="F2027" s="24"/>
      <c r="G2027" s="24"/>
      <c r="I2027" s="13" t="str">
        <f>IFERROR(__xludf.DUMMYFUNCTION("if(isblank(A2027),,split(A2027,""-""))"),"")</f>
        <v/>
      </c>
      <c r="K2027" s="13" t="str">
        <f>IFERROR(__xludf.DUMMYFUNCTION("if(isblank(B2027),,split(B2027,""-""))"),"")</f>
        <v/>
      </c>
    </row>
    <row r="2028">
      <c r="A2028" s="132"/>
      <c r="B2028" s="41"/>
      <c r="C2028" s="9"/>
      <c r="D2028" s="133"/>
      <c r="E2028" s="133"/>
      <c r="F2028" s="24"/>
      <c r="G2028" s="24"/>
      <c r="I2028" s="13" t="str">
        <f>IFERROR(__xludf.DUMMYFUNCTION("if(isblank(A2028),,split(A2028,""-""))"),"")</f>
        <v/>
      </c>
      <c r="K2028" s="13" t="str">
        <f>IFERROR(__xludf.DUMMYFUNCTION("if(isblank(B2028),,split(B2028,""-""))"),"")</f>
        <v/>
      </c>
    </row>
    <row r="2029">
      <c r="A2029" s="132"/>
      <c r="B2029" s="41"/>
      <c r="C2029" s="9"/>
      <c r="D2029" s="133"/>
      <c r="E2029" s="133"/>
      <c r="F2029" s="24"/>
      <c r="G2029" s="24"/>
      <c r="I2029" s="13" t="str">
        <f>IFERROR(__xludf.DUMMYFUNCTION("if(isblank(A2029),,split(A2029,""-""))"),"")</f>
        <v/>
      </c>
      <c r="K2029" s="13" t="str">
        <f>IFERROR(__xludf.DUMMYFUNCTION("if(isblank(B2029),,split(B2029,""-""))"),"")</f>
        <v/>
      </c>
    </row>
    <row r="2030">
      <c r="A2030" s="132"/>
      <c r="B2030" s="41"/>
      <c r="C2030" s="9"/>
      <c r="D2030" s="133"/>
      <c r="E2030" s="133"/>
      <c r="F2030" s="24"/>
      <c r="G2030" s="24"/>
      <c r="I2030" s="13" t="str">
        <f>IFERROR(__xludf.DUMMYFUNCTION("if(isblank(A2030),,split(A2030,""-""))"),"")</f>
        <v/>
      </c>
      <c r="K2030" s="13" t="str">
        <f>IFERROR(__xludf.DUMMYFUNCTION("if(isblank(B2030),,split(B2030,""-""))"),"")</f>
        <v/>
      </c>
    </row>
    <row r="2031">
      <c r="A2031" s="132"/>
      <c r="B2031" s="41"/>
      <c r="C2031" s="9"/>
      <c r="D2031" s="133"/>
      <c r="E2031" s="133"/>
      <c r="F2031" s="24"/>
      <c r="G2031" s="24"/>
      <c r="I2031" s="13" t="str">
        <f>IFERROR(__xludf.DUMMYFUNCTION("if(isblank(A2031),,split(A2031,""-""))"),"")</f>
        <v/>
      </c>
      <c r="K2031" s="13" t="str">
        <f>IFERROR(__xludf.DUMMYFUNCTION("if(isblank(B2031),,split(B2031,""-""))"),"")</f>
        <v/>
      </c>
    </row>
    <row r="2032">
      <c r="A2032" s="132"/>
      <c r="B2032" s="41"/>
      <c r="C2032" s="9"/>
      <c r="D2032" s="133"/>
      <c r="E2032" s="133"/>
      <c r="F2032" s="24"/>
      <c r="G2032" s="24"/>
      <c r="I2032" s="13" t="str">
        <f>IFERROR(__xludf.DUMMYFUNCTION("if(isblank(A2032),,split(A2032,""-""))"),"")</f>
        <v/>
      </c>
      <c r="K2032" s="13" t="str">
        <f>IFERROR(__xludf.DUMMYFUNCTION("if(isblank(B2032),,split(B2032,""-""))"),"")</f>
        <v/>
      </c>
    </row>
    <row r="2033">
      <c r="A2033" s="132"/>
      <c r="B2033" s="41"/>
      <c r="C2033" s="9"/>
      <c r="D2033" s="133"/>
      <c r="E2033" s="133"/>
      <c r="F2033" s="24"/>
      <c r="G2033" s="24"/>
      <c r="I2033" s="13" t="str">
        <f>IFERROR(__xludf.DUMMYFUNCTION("if(isblank(A2033),,split(A2033,""-""))"),"")</f>
        <v/>
      </c>
      <c r="K2033" s="13" t="str">
        <f>IFERROR(__xludf.DUMMYFUNCTION("if(isblank(B2033),,split(B2033,""-""))"),"")</f>
        <v/>
      </c>
    </row>
    <row r="2034">
      <c r="A2034" s="132"/>
      <c r="B2034" s="41"/>
      <c r="C2034" s="9"/>
      <c r="D2034" s="133"/>
      <c r="E2034" s="133"/>
      <c r="F2034" s="24"/>
      <c r="G2034" s="24"/>
      <c r="I2034" s="13" t="str">
        <f>IFERROR(__xludf.DUMMYFUNCTION("if(isblank(A2034),,split(A2034,""-""))"),"")</f>
        <v/>
      </c>
      <c r="K2034" s="13" t="str">
        <f>IFERROR(__xludf.DUMMYFUNCTION("if(isblank(B2034),,split(B2034,""-""))"),"")</f>
        <v/>
      </c>
    </row>
    <row r="2035">
      <c r="A2035" s="132"/>
      <c r="B2035" s="41"/>
      <c r="C2035" s="9"/>
      <c r="D2035" s="133"/>
      <c r="E2035" s="133"/>
      <c r="F2035" s="24"/>
      <c r="G2035" s="24"/>
      <c r="I2035" s="13" t="str">
        <f>IFERROR(__xludf.DUMMYFUNCTION("if(isblank(A2035),,split(A2035,""-""))"),"")</f>
        <v/>
      </c>
      <c r="K2035" s="13" t="str">
        <f>IFERROR(__xludf.DUMMYFUNCTION("if(isblank(B2035),,split(B2035,""-""))"),"")</f>
        <v/>
      </c>
    </row>
    <row r="2036">
      <c r="A2036" s="132"/>
      <c r="B2036" s="41"/>
      <c r="C2036" s="9"/>
      <c r="D2036" s="133"/>
      <c r="E2036" s="133"/>
      <c r="F2036" s="24"/>
      <c r="G2036" s="24"/>
      <c r="I2036" s="13" t="str">
        <f>IFERROR(__xludf.DUMMYFUNCTION("if(isblank(A2036),,split(A2036,""-""))"),"")</f>
        <v/>
      </c>
      <c r="K2036" s="13" t="str">
        <f>IFERROR(__xludf.DUMMYFUNCTION("if(isblank(B2036),,split(B2036,""-""))"),"")</f>
        <v/>
      </c>
    </row>
    <row r="2037">
      <c r="A2037" s="132"/>
      <c r="B2037" s="41"/>
      <c r="C2037" s="9"/>
      <c r="D2037" s="133"/>
      <c r="E2037" s="133"/>
      <c r="F2037" s="24"/>
      <c r="G2037" s="24"/>
      <c r="I2037" s="13" t="str">
        <f>IFERROR(__xludf.DUMMYFUNCTION("if(isblank(A2037),,split(A2037,""-""))"),"")</f>
        <v/>
      </c>
      <c r="K2037" s="13" t="str">
        <f>IFERROR(__xludf.DUMMYFUNCTION("if(isblank(B2037),,split(B2037,""-""))"),"")</f>
        <v/>
      </c>
    </row>
    <row r="2038">
      <c r="A2038" s="132"/>
      <c r="B2038" s="41"/>
      <c r="C2038" s="9"/>
      <c r="D2038" s="133"/>
      <c r="E2038" s="133"/>
      <c r="F2038" s="24"/>
      <c r="G2038" s="24"/>
      <c r="I2038" s="13" t="str">
        <f>IFERROR(__xludf.DUMMYFUNCTION("if(isblank(A2038),,split(A2038,""-""))"),"")</f>
        <v/>
      </c>
      <c r="K2038" s="13" t="str">
        <f>IFERROR(__xludf.DUMMYFUNCTION("if(isblank(B2038),,split(B2038,""-""))"),"")</f>
        <v/>
      </c>
    </row>
    <row r="2039">
      <c r="A2039" s="132"/>
      <c r="B2039" s="41"/>
      <c r="C2039" s="9"/>
      <c r="D2039" s="133"/>
      <c r="E2039" s="133"/>
      <c r="F2039" s="24"/>
      <c r="G2039" s="24"/>
      <c r="I2039" s="13" t="str">
        <f>IFERROR(__xludf.DUMMYFUNCTION("if(isblank(A2039),,split(A2039,""-""))"),"")</f>
        <v/>
      </c>
      <c r="K2039" s="13" t="str">
        <f>IFERROR(__xludf.DUMMYFUNCTION("if(isblank(B2039),,split(B2039,""-""))"),"")</f>
        <v/>
      </c>
    </row>
    <row r="2040">
      <c r="A2040" s="132"/>
      <c r="B2040" s="41"/>
      <c r="C2040" s="9"/>
      <c r="D2040" s="133"/>
      <c r="E2040" s="133"/>
      <c r="F2040" s="24"/>
      <c r="G2040" s="24"/>
      <c r="I2040" s="13" t="str">
        <f>IFERROR(__xludf.DUMMYFUNCTION("if(isblank(A2040),,split(A2040,""-""))"),"")</f>
        <v/>
      </c>
      <c r="K2040" s="13" t="str">
        <f>IFERROR(__xludf.DUMMYFUNCTION("if(isblank(B2040),,split(B2040,""-""))"),"")</f>
        <v/>
      </c>
    </row>
    <row r="2041">
      <c r="A2041" s="132"/>
      <c r="B2041" s="41"/>
      <c r="C2041" s="9"/>
      <c r="D2041" s="133"/>
      <c r="E2041" s="133"/>
      <c r="F2041" s="24"/>
      <c r="G2041" s="24"/>
      <c r="I2041" s="13" t="str">
        <f>IFERROR(__xludf.DUMMYFUNCTION("if(isblank(A2041),,split(A2041,""-""))"),"")</f>
        <v/>
      </c>
      <c r="K2041" s="13" t="str">
        <f>IFERROR(__xludf.DUMMYFUNCTION("if(isblank(B2041),,split(B2041,""-""))"),"")</f>
        <v/>
      </c>
    </row>
    <row r="2042">
      <c r="A2042" s="132"/>
      <c r="B2042" s="41"/>
      <c r="C2042" s="9"/>
      <c r="D2042" s="133"/>
      <c r="E2042" s="133"/>
      <c r="F2042" s="24"/>
      <c r="G2042" s="24"/>
      <c r="I2042" s="13" t="str">
        <f>IFERROR(__xludf.DUMMYFUNCTION("if(isblank(A2042),,split(A2042,""-""))"),"")</f>
        <v/>
      </c>
      <c r="K2042" s="13" t="str">
        <f>IFERROR(__xludf.DUMMYFUNCTION("if(isblank(B2042),,split(B2042,""-""))"),"")</f>
        <v/>
      </c>
    </row>
    <row r="2043">
      <c r="A2043" s="132"/>
      <c r="B2043" s="41"/>
      <c r="C2043" s="9"/>
      <c r="D2043" s="133"/>
      <c r="E2043" s="133"/>
      <c r="F2043" s="24"/>
      <c r="G2043" s="24"/>
      <c r="I2043" s="13" t="str">
        <f>IFERROR(__xludf.DUMMYFUNCTION("if(isblank(A2043),,split(A2043,""-""))"),"")</f>
        <v/>
      </c>
      <c r="K2043" s="13" t="str">
        <f>IFERROR(__xludf.DUMMYFUNCTION("if(isblank(B2043),,split(B2043,""-""))"),"")</f>
        <v/>
      </c>
    </row>
    <row r="2044">
      <c r="A2044" s="132"/>
      <c r="B2044" s="41"/>
      <c r="C2044" s="9"/>
      <c r="D2044" s="133"/>
      <c r="E2044" s="133"/>
      <c r="F2044" s="24"/>
      <c r="G2044" s="24"/>
      <c r="I2044" s="13" t="str">
        <f>IFERROR(__xludf.DUMMYFUNCTION("if(isblank(A2044),,split(A2044,""-""))"),"")</f>
        <v/>
      </c>
      <c r="K2044" s="13" t="str">
        <f>IFERROR(__xludf.DUMMYFUNCTION("if(isblank(B2044),,split(B2044,""-""))"),"")</f>
        <v/>
      </c>
    </row>
    <row r="2045">
      <c r="A2045" s="132"/>
      <c r="B2045" s="41"/>
      <c r="C2045" s="9"/>
      <c r="D2045" s="133"/>
      <c r="E2045" s="133"/>
      <c r="F2045" s="24"/>
      <c r="G2045" s="24"/>
      <c r="I2045" s="13" t="str">
        <f>IFERROR(__xludf.DUMMYFUNCTION("if(isblank(A2045),,split(A2045,""-""))"),"")</f>
        <v/>
      </c>
      <c r="K2045" s="13" t="str">
        <f>IFERROR(__xludf.DUMMYFUNCTION("if(isblank(B2045),,split(B2045,""-""))"),"")</f>
        <v/>
      </c>
    </row>
    <row r="2046">
      <c r="A2046" s="132"/>
      <c r="B2046" s="41"/>
      <c r="C2046" s="9"/>
      <c r="D2046" s="133"/>
      <c r="E2046" s="133"/>
      <c r="F2046" s="24"/>
      <c r="G2046" s="24"/>
      <c r="I2046" s="13" t="str">
        <f>IFERROR(__xludf.DUMMYFUNCTION("if(isblank(A2046),,split(A2046,""-""))"),"")</f>
        <v/>
      </c>
      <c r="K2046" s="13" t="str">
        <f>IFERROR(__xludf.DUMMYFUNCTION("if(isblank(B2046),,split(B2046,""-""))"),"")</f>
        <v/>
      </c>
    </row>
    <row r="2047">
      <c r="A2047" s="132"/>
      <c r="B2047" s="41"/>
      <c r="C2047" s="9"/>
      <c r="D2047" s="133"/>
      <c r="E2047" s="133"/>
      <c r="F2047" s="24"/>
      <c r="G2047" s="24"/>
      <c r="I2047" s="13" t="str">
        <f>IFERROR(__xludf.DUMMYFUNCTION("if(isblank(A2047),,split(A2047,""-""))"),"")</f>
        <v/>
      </c>
      <c r="K2047" s="13" t="str">
        <f>IFERROR(__xludf.DUMMYFUNCTION("if(isblank(B2047),,split(B2047,""-""))"),"")</f>
        <v/>
      </c>
    </row>
    <row r="2048">
      <c r="A2048" s="132"/>
      <c r="B2048" s="41"/>
      <c r="C2048" s="9"/>
      <c r="D2048" s="133"/>
      <c r="E2048" s="133"/>
      <c r="F2048" s="24"/>
      <c r="G2048" s="24"/>
      <c r="I2048" s="13" t="str">
        <f>IFERROR(__xludf.DUMMYFUNCTION("if(isblank(A2048),,split(A2048,""-""))"),"")</f>
        <v/>
      </c>
      <c r="K2048" s="13" t="str">
        <f>IFERROR(__xludf.DUMMYFUNCTION("if(isblank(B2048),,split(B2048,""-""))"),"")</f>
        <v/>
      </c>
    </row>
    <row r="2049">
      <c r="A2049" s="132"/>
      <c r="B2049" s="41"/>
      <c r="C2049" s="9"/>
      <c r="D2049" s="133"/>
      <c r="E2049" s="133"/>
      <c r="F2049" s="24"/>
      <c r="G2049" s="24"/>
      <c r="I2049" s="13" t="str">
        <f>IFERROR(__xludf.DUMMYFUNCTION("if(isblank(A2049),,split(A2049,""-""))"),"")</f>
        <v/>
      </c>
      <c r="K2049" s="13" t="str">
        <f>IFERROR(__xludf.DUMMYFUNCTION("if(isblank(B2049),,split(B2049,""-""))"),"")</f>
        <v/>
      </c>
    </row>
    <row r="2050">
      <c r="A2050" s="132"/>
      <c r="B2050" s="41"/>
      <c r="C2050" s="9"/>
      <c r="D2050" s="133"/>
      <c r="E2050" s="133"/>
      <c r="F2050" s="24"/>
      <c r="G2050" s="24"/>
      <c r="I2050" s="13" t="str">
        <f>IFERROR(__xludf.DUMMYFUNCTION("if(isblank(A2050),,split(A2050,""-""))"),"")</f>
        <v/>
      </c>
      <c r="K2050" s="13" t="str">
        <f>IFERROR(__xludf.DUMMYFUNCTION("if(isblank(B2050),,split(B2050,""-""))"),"")</f>
        <v/>
      </c>
    </row>
    <row r="2051">
      <c r="A2051" s="132"/>
      <c r="B2051" s="41"/>
      <c r="C2051" s="9"/>
      <c r="D2051" s="133"/>
      <c r="E2051" s="133"/>
      <c r="F2051" s="24"/>
      <c r="G2051" s="24"/>
      <c r="I2051" s="13" t="str">
        <f>IFERROR(__xludf.DUMMYFUNCTION("if(isblank(A2051),,split(A2051,""-""))"),"")</f>
        <v/>
      </c>
      <c r="K2051" s="13" t="str">
        <f>IFERROR(__xludf.DUMMYFUNCTION("if(isblank(B2051),,split(B2051,""-""))"),"")</f>
        <v/>
      </c>
    </row>
    <row r="2052">
      <c r="A2052" s="132"/>
      <c r="B2052" s="41"/>
      <c r="C2052" s="9"/>
      <c r="D2052" s="133"/>
      <c r="E2052" s="133"/>
      <c r="F2052" s="24"/>
      <c r="G2052" s="24"/>
      <c r="I2052" s="13" t="str">
        <f>IFERROR(__xludf.DUMMYFUNCTION("if(isblank(A2052),,split(A2052,""-""))"),"")</f>
        <v/>
      </c>
      <c r="K2052" s="13" t="str">
        <f>IFERROR(__xludf.DUMMYFUNCTION("if(isblank(B2052),,split(B2052,""-""))"),"")</f>
        <v/>
      </c>
    </row>
    <row r="2053">
      <c r="A2053" s="132"/>
      <c r="B2053" s="41"/>
      <c r="C2053" s="9"/>
      <c r="D2053" s="133"/>
      <c r="E2053" s="133"/>
      <c r="F2053" s="24"/>
      <c r="G2053" s="24"/>
      <c r="I2053" s="13" t="str">
        <f>IFERROR(__xludf.DUMMYFUNCTION("if(isblank(A2053),,split(A2053,""-""))"),"")</f>
        <v/>
      </c>
      <c r="K2053" s="13" t="str">
        <f>IFERROR(__xludf.DUMMYFUNCTION("if(isblank(B2053),,split(B2053,""-""))"),"")</f>
        <v/>
      </c>
    </row>
    <row r="2054">
      <c r="A2054" s="132"/>
      <c r="B2054" s="41"/>
      <c r="C2054" s="9"/>
      <c r="D2054" s="133"/>
      <c r="E2054" s="133"/>
      <c r="F2054" s="24"/>
      <c r="G2054" s="24"/>
      <c r="I2054" s="13" t="str">
        <f>IFERROR(__xludf.DUMMYFUNCTION("if(isblank(A2054),,split(A2054,""-""))"),"")</f>
        <v/>
      </c>
      <c r="K2054" s="13" t="str">
        <f>IFERROR(__xludf.DUMMYFUNCTION("if(isblank(B2054),,split(B2054,""-""))"),"")</f>
        <v/>
      </c>
    </row>
    <row r="2055">
      <c r="A2055" s="132"/>
      <c r="B2055" s="41"/>
      <c r="C2055" s="9"/>
      <c r="D2055" s="133"/>
      <c r="E2055" s="133"/>
      <c r="F2055" s="24"/>
      <c r="G2055" s="24"/>
      <c r="I2055" s="13" t="str">
        <f>IFERROR(__xludf.DUMMYFUNCTION("if(isblank(A2055),,split(A2055,""-""))"),"")</f>
        <v/>
      </c>
      <c r="K2055" s="13" t="str">
        <f>IFERROR(__xludf.DUMMYFUNCTION("if(isblank(B2055),,split(B2055,""-""))"),"")</f>
        <v/>
      </c>
    </row>
    <row r="2056">
      <c r="A2056" s="132"/>
      <c r="B2056" s="41"/>
      <c r="C2056" s="9"/>
      <c r="D2056" s="133"/>
      <c r="E2056" s="133"/>
      <c r="F2056" s="24"/>
      <c r="G2056" s="24"/>
      <c r="I2056" s="13" t="str">
        <f>IFERROR(__xludf.DUMMYFUNCTION("if(isblank(A2056),,split(A2056,""-""))"),"")</f>
        <v/>
      </c>
      <c r="K2056" s="13" t="str">
        <f>IFERROR(__xludf.DUMMYFUNCTION("if(isblank(B2056),,split(B2056,""-""))"),"")</f>
        <v/>
      </c>
    </row>
    <row r="2057">
      <c r="A2057" s="132"/>
      <c r="B2057" s="41"/>
      <c r="C2057" s="9"/>
      <c r="D2057" s="133"/>
      <c r="E2057" s="133"/>
      <c r="F2057" s="24"/>
      <c r="G2057" s="24"/>
      <c r="I2057" s="13" t="str">
        <f>IFERROR(__xludf.DUMMYFUNCTION("if(isblank(A2057),,split(A2057,""-""))"),"")</f>
        <v/>
      </c>
      <c r="K2057" s="13" t="str">
        <f>IFERROR(__xludf.DUMMYFUNCTION("if(isblank(B2057),,split(B2057,""-""))"),"")</f>
        <v/>
      </c>
    </row>
    <row r="2058">
      <c r="A2058" s="132"/>
      <c r="B2058" s="41"/>
      <c r="C2058" s="9"/>
      <c r="D2058" s="133"/>
      <c r="E2058" s="133"/>
      <c r="F2058" s="24"/>
      <c r="G2058" s="24"/>
      <c r="I2058" s="13" t="str">
        <f>IFERROR(__xludf.DUMMYFUNCTION("if(isblank(A2058),,split(A2058,""-""))"),"")</f>
        <v/>
      </c>
      <c r="K2058" s="13" t="str">
        <f>IFERROR(__xludf.DUMMYFUNCTION("if(isblank(B2058),,split(B2058,""-""))"),"")</f>
        <v/>
      </c>
    </row>
    <row r="2059">
      <c r="A2059" s="132"/>
      <c r="B2059" s="41"/>
      <c r="C2059" s="9"/>
      <c r="D2059" s="133"/>
      <c r="E2059" s="133"/>
      <c r="F2059" s="24"/>
      <c r="G2059" s="24"/>
      <c r="I2059" s="13" t="str">
        <f>IFERROR(__xludf.DUMMYFUNCTION("if(isblank(A2059),,split(A2059,""-""))"),"")</f>
        <v/>
      </c>
      <c r="K2059" s="13" t="str">
        <f>IFERROR(__xludf.DUMMYFUNCTION("if(isblank(B2059),,split(B2059,""-""))"),"")</f>
        <v/>
      </c>
    </row>
    <row r="2060">
      <c r="A2060" s="132"/>
      <c r="B2060" s="41"/>
      <c r="C2060" s="9"/>
      <c r="D2060" s="133"/>
      <c r="E2060" s="133"/>
      <c r="F2060" s="24"/>
      <c r="G2060" s="24"/>
      <c r="I2060" s="13" t="str">
        <f>IFERROR(__xludf.DUMMYFUNCTION("if(isblank(A2060),,split(A2060,""-""))"),"")</f>
        <v/>
      </c>
      <c r="K2060" s="13" t="str">
        <f>IFERROR(__xludf.DUMMYFUNCTION("if(isblank(B2060),,split(B2060,""-""))"),"")</f>
        <v/>
      </c>
    </row>
    <row r="2061">
      <c r="A2061" s="132"/>
      <c r="B2061" s="41"/>
      <c r="C2061" s="9"/>
      <c r="D2061" s="133"/>
      <c r="E2061" s="133"/>
      <c r="F2061" s="24"/>
      <c r="G2061" s="24"/>
      <c r="I2061" s="13" t="str">
        <f>IFERROR(__xludf.DUMMYFUNCTION("if(isblank(A2061),,split(A2061,""-""))"),"")</f>
        <v/>
      </c>
      <c r="K2061" s="13" t="str">
        <f>IFERROR(__xludf.DUMMYFUNCTION("if(isblank(B2061),,split(B2061,""-""))"),"")</f>
        <v/>
      </c>
    </row>
    <row r="2062">
      <c r="A2062" s="132"/>
      <c r="B2062" s="41"/>
      <c r="C2062" s="9"/>
      <c r="D2062" s="133"/>
      <c r="E2062" s="133"/>
      <c r="F2062" s="24"/>
      <c r="G2062" s="24"/>
      <c r="I2062" s="13" t="str">
        <f>IFERROR(__xludf.DUMMYFUNCTION("if(isblank(A2062),,split(A2062,""-""))"),"")</f>
        <v/>
      </c>
      <c r="K2062" s="13" t="str">
        <f>IFERROR(__xludf.DUMMYFUNCTION("if(isblank(B2062),,split(B2062,""-""))"),"")</f>
        <v/>
      </c>
    </row>
    <row r="2063">
      <c r="A2063" s="132"/>
      <c r="B2063" s="41"/>
      <c r="C2063" s="9"/>
      <c r="D2063" s="133"/>
      <c r="E2063" s="133"/>
      <c r="F2063" s="24"/>
      <c r="G2063" s="24"/>
      <c r="I2063" s="13" t="str">
        <f>IFERROR(__xludf.DUMMYFUNCTION("if(isblank(A2063),,split(A2063,""-""))"),"")</f>
        <v/>
      </c>
      <c r="K2063" s="13" t="str">
        <f>IFERROR(__xludf.DUMMYFUNCTION("if(isblank(B2063),,split(B2063,""-""))"),"")</f>
        <v/>
      </c>
    </row>
    <row r="2064">
      <c r="A2064" s="132"/>
      <c r="B2064" s="41"/>
      <c r="C2064" s="9"/>
      <c r="D2064" s="133"/>
      <c r="E2064" s="133"/>
      <c r="F2064" s="24"/>
      <c r="G2064" s="24"/>
      <c r="I2064" s="13" t="str">
        <f>IFERROR(__xludf.DUMMYFUNCTION("if(isblank(A2064),,split(A2064,""-""))"),"")</f>
        <v/>
      </c>
      <c r="K2064" s="13" t="str">
        <f>IFERROR(__xludf.DUMMYFUNCTION("if(isblank(B2064),,split(B2064,""-""))"),"")</f>
        <v/>
      </c>
    </row>
    <row r="2065">
      <c r="A2065" s="132"/>
      <c r="B2065" s="41"/>
      <c r="C2065" s="9"/>
      <c r="D2065" s="133"/>
      <c r="E2065" s="133"/>
      <c r="F2065" s="24"/>
      <c r="G2065" s="24"/>
      <c r="I2065" s="13" t="str">
        <f>IFERROR(__xludf.DUMMYFUNCTION("if(isblank(A2065),,split(A2065,""-""))"),"")</f>
        <v/>
      </c>
      <c r="K2065" s="13" t="str">
        <f>IFERROR(__xludf.DUMMYFUNCTION("if(isblank(B2065),,split(B2065,""-""))"),"")</f>
        <v/>
      </c>
    </row>
    <row r="2066">
      <c r="A2066" s="132"/>
      <c r="B2066" s="41"/>
      <c r="C2066" s="9"/>
      <c r="D2066" s="133"/>
      <c r="E2066" s="133"/>
      <c r="F2066" s="24"/>
      <c r="G2066" s="24"/>
      <c r="I2066" s="13" t="str">
        <f>IFERROR(__xludf.DUMMYFUNCTION("if(isblank(A2066),,split(A2066,""-""))"),"")</f>
        <v/>
      </c>
      <c r="K2066" s="13" t="str">
        <f>IFERROR(__xludf.DUMMYFUNCTION("if(isblank(B2066),,split(B2066,""-""))"),"")</f>
        <v/>
      </c>
    </row>
    <row r="2067">
      <c r="A2067" s="132"/>
      <c r="B2067" s="41"/>
      <c r="C2067" s="9"/>
      <c r="D2067" s="133"/>
      <c r="E2067" s="133"/>
      <c r="F2067" s="24"/>
      <c r="G2067" s="24"/>
      <c r="I2067" s="13" t="str">
        <f>IFERROR(__xludf.DUMMYFUNCTION("if(isblank(A2067),,split(A2067,""-""))"),"")</f>
        <v/>
      </c>
      <c r="K2067" s="13" t="str">
        <f>IFERROR(__xludf.DUMMYFUNCTION("if(isblank(B2067),,split(B2067,""-""))"),"")</f>
        <v/>
      </c>
    </row>
    <row r="2068">
      <c r="A2068" s="132"/>
      <c r="B2068" s="41"/>
      <c r="C2068" s="9"/>
      <c r="D2068" s="133"/>
      <c r="E2068" s="133"/>
      <c r="F2068" s="24"/>
      <c r="G2068" s="24"/>
      <c r="I2068" s="13" t="str">
        <f>IFERROR(__xludf.DUMMYFUNCTION("if(isblank(A2068),,split(A2068,""-""))"),"")</f>
        <v/>
      </c>
      <c r="K2068" s="13" t="str">
        <f>IFERROR(__xludf.DUMMYFUNCTION("if(isblank(B2068),,split(B2068,""-""))"),"")</f>
        <v/>
      </c>
    </row>
    <row r="2069">
      <c r="A2069" s="132"/>
      <c r="B2069" s="41"/>
      <c r="C2069" s="9"/>
      <c r="D2069" s="133"/>
      <c r="E2069" s="133"/>
      <c r="F2069" s="24"/>
      <c r="G2069" s="24"/>
      <c r="I2069" s="13" t="str">
        <f>IFERROR(__xludf.DUMMYFUNCTION("if(isblank(A2069),,split(A2069,""-""))"),"")</f>
        <v/>
      </c>
      <c r="K2069" s="13" t="str">
        <f>IFERROR(__xludf.DUMMYFUNCTION("if(isblank(B2069),,split(B2069,""-""))"),"")</f>
        <v/>
      </c>
    </row>
    <row r="2070">
      <c r="A2070" s="132"/>
      <c r="B2070" s="41"/>
      <c r="C2070" s="9"/>
      <c r="D2070" s="133"/>
      <c r="E2070" s="133"/>
      <c r="F2070" s="24"/>
      <c r="G2070" s="24"/>
      <c r="I2070" s="13" t="str">
        <f>IFERROR(__xludf.DUMMYFUNCTION("if(isblank(A2070),,split(A2070,""-""))"),"")</f>
        <v/>
      </c>
      <c r="K2070" s="13" t="str">
        <f>IFERROR(__xludf.DUMMYFUNCTION("if(isblank(B2070),,split(B2070,""-""))"),"")</f>
        <v/>
      </c>
    </row>
    <row r="2071">
      <c r="A2071" s="132"/>
      <c r="B2071" s="41"/>
      <c r="C2071" s="9"/>
      <c r="D2071" s="133"/>
      <c r="E2071" s="133"/>
      <c r="F2071" s="24"/>
      <c r="G2071" s="24"/>
      <c r="I2071" s="13" t="str">
        <f>IFERROR(__xludf.DUMMYFUNCTION("if(isblank(A2071),,split(A2071,""-""))"),"")</f>
        <v/>
      </c>
      <c r="K2071" s="13" t="str">
        <f>IFERROR(__xludf.DUMMYFUNCTION("if(isblank(B2071),,split(B2071,""-""))"),"")</f>
        <v/>
      </c>
    </row>
    <row r="2072">
      <c r="A2072" s="132"/>
      <c r="B2072" s="41"/>
      <c r="C2072" s="9"/>
      <c r="D2072" s="133"/>
      <c r="E2072" s="133"/>
      <c r="F2072" s="24"/>
      <c r="G2072" s="24"/>
      <c r="I2072" s="13" t="str">
        <f>IFERROR(__xludf.DUMMYFUNCTION("if(isblank(A2072),,split(A2072,""-""))"),"")</f>
        <v/>
      </c>
      <c r="K2072" s="13" t="str">
        <f>IFERROR(__xludf.DUMMYFUNCTION("if(isblank(B2072),,split(B2072,""-""))"),"")</f>
        <v/>
      </c>
    </row>
    <row r="2073">
      <c r="A2073" s="132"/>
      <c r="B2073" s="41"/>
      <c r="C2073" s="9"/>
      <c r="D2073" s="133"/>
      <c r="E2073" s="133"/>
      <c r="F2073" s="24"/>
      <c r="G2073" s="24"/>
      <c r="I2073" s="13" t="str">
        <f>IFERROR(__xludf.DUMMYFUNCTION("if(isblank(A2073),,split(A2073,""-""))"),"")</f>
        <v/>
      </c>
      <c r="K2073" s="13" t="str">
        <f>IFERROR(__xludf.DUMMYFUNCTION("if(isblank(B2073),,split(B2073,""-""))"),"")</f>
        <v/>
      </c>
    </row>
    <row r="2074">
      <c r="A2074" s="132"/>
      <c r="B2074" s="41"/>
      <c r="C2074" s="9"/>
      <c r="D2074" s="133"/>
      <c r="E2074" s="133"/>
      <c r="F2074" s="24"/>
      <c r="G2074" s="24"/>
      <c r="I2074" s="13" t="str">
        <f>IFERROR(__xludf.DUMMYFUNCTION("if(isblank(A2074),,split(A2074,""-""))"),"")</f>
        <v/>
      </c>
      <c r="K2074" s="13" t="str">
        <f>IFERROR(__xludf.DUMMYFUNCTION("if(isblank(B2074),,split(B2074,""-""))"),"")</f>
        <v/>
      </c>
    </row>
    <row r="2075">
      <c r="A2075" s="132"/>
      <c r="B2075" s="41"/>
      <c r="C2075" s="9"/>
      <c r="D2075" s="133"/>
      <c r="E2075" s="133"/>
      <c r="F2075" s="24"/>
      <c r="G2075" s="24"/>
      <c r="I2075" s="13" t="str">
        <f>IFERROR(__xludf.DUMMYFUNCTION("if(isblank(A2075),,split(A2075,""-""))"),"")</f>
        <v/>
      </c>
      <c r="K2075" s="13" t="str">
        <f>IFERROR(__xludf.DUMMYFUNCTION("if(isblank(B2075),,split(B2075,""-""))"),"")</f>
        <v/>
      </c>
    </row>
    <row r="2076">
      <c r="A2076" s="132"/>
      <c r="B2076" s="41"/>
      <c r="C2076" s="9"/>
      <c r="D2076" s="133"/>
      <c r="E2076" s="133"/>
      <c r="F2076" s="24"/>
      <c r="G2076" s="24"/>
      <c r="I2076" s="13" t="str">
        <f>IFERROR(__xludf.DUMMYFUNCTION("if(isblank(A2076),,split(A2076,""-""))"),"")</f>
        <v/>
      </c>
      <c r="K2076" s="13" t="str">
        <f>IFERROR(__xludf.DUMMYFUNCTION("if(isblank(B2076),,split(B2076,""-""))"),"")</f>
        <v/>
      </c>
    </row>
    <row r="2077">
      <c r="A2077" s="132"/>
      <c r="B2077" s="41"/>
      <c r="C2077" s="9"/>
      <c r="D2077" s="133"/>
      <c r="E2077" s="133"/>
      <c r="F2077" s="24"/>
      <c r="G2077" s="24"/>
      <c r="I2077" s="13" t="str">
        <f>IFERROR(__xludf.DUMMYFUNCTION("if(isblank(A2077),,split(A2077,""-""))"),"")</f>
        <v/>
      </c>
      <c r="K2077" s="13" t="str">
        <f>IFERROR(__xludf.DUMMYFUNCTION("if(isblank(B2077),,split(B2077,""-""))"),"")</f>
        <v/>
      </c>
    </row>
    <row r="2078">
      <c r="A2078" s="132"/>
      <c r="B2078" s="41"/>
      <c r="C2078" s="9"/>
      <c r="D2078" s="133"/>
      <c r="E2078" s="133"/>
      <c r="F2078" s="24"/>
      <c r="G2078" s="24"/>
      <c r="I2078" s="13" t="str">
        <f>IFERROR(__xludf.DUMMYFUNCTION("if(isblank(A2078),,split(A2078,""-""))"),"")</f>
        <v/>
      </c>
      <c r="K2078" s="13" t="str">
        <f>IFERROR(__xludf.DUMMYFUNCTION("if(isblank(B2078),,split(B2078,""-""))"),"")</f>
        <v/>
      </c>
    </row>
    <row r="2079">
      <c r="A2079" s="132"/>
      <c r="B2079" s="41"/>
      <c r="C2079" s="9"/>
      <c r="D2079" s="133"/>
      <c r="E2079" s="133"/>
      <c r="F2079" s="24"/>
      <c r="G2079" s="24"/>
      <c r="I2079" s="13" t="str">
        <f>IFERROR(__xludf.DUMMYFUNCTION("if(isblank(A2079),,split(A2079,""-""))"),"")</f>
        <v/>
      </c>
      <c r="K2079" s="13" t="str">
        <f>IFERROR(__xludf.DUMMYFUNCTION("if(isblank(B2079),,split(B2079,""-""))"),"")</f>
        <v/>
      </c>
    </row>
    <row r="2080">
      <c r="A2080" s="132"/>
      <c r="B2080" s="41"/>
      <c r="C2080" s="9"/>
      <c r="D2080" s="133"/>
      <c r="E2080" s="133"/>
      <c r="F2080" s="24"/>
      <c r="G2080" s="24"/>
      <c r="I2080" s="13" t="str">
        <f>IFERROR(__xludf.DUMMYFUNCTION("if(isblank(A2080),,split(A2080,""-""))"),"")</f>
        <v/>
      </c>
      <c r="K2080" s="13" t="str">
        <f>IFERROR(__xludf.DUMMYFUNCTION("if(isblank(B2080),,split(B2080,""-""))"),"")</f>
        <v/>
      </c>
    </row>
    <row r="2081">
      <c r="A2081" s="132"/>
      <c r="B2081" s="41"/>
      <c r="C2081" s="9"/>
      <c r="D2081" s="133"/>
      <c r="E2081" s="133"/>
      <c r="F2081" s="24"/>
      <c r="G2081" s="24"/>
      <c r="I2081" s="13" t="str">
        <f>IFERROR(__xludf.DUMMYFUNCTION("if(isblank(A2081),,split(A2081,""-""))"),"")</f>
        <v/>
      </c>
      <c r="K2081" s="13" t="str">
        <f>IFERROR(__xludf.DUMMYFUNCTION("if(isblank(B2081),,split(B2081,""-""))"),"")</f>
        <v/>
      </c>
    </row>
    <row r="2082">
      <c r="A2082" s="132"/>
      <c r="B2082" s="41"/>
      <c r="C2082" s="9"/>
      <c r="D2082" s="133"/>
      <c r="E2082" s="133"/>
      <c r="F2082" s="24"/>
      <c r="G2082" s="24"/>
      <c r="I2082" s="13" t="str">
        <f>IFERROR(__xludf.DUMMYFUNCTION("if(isblank(A2082),,split(A2082,""-""))"),"")</f>
        <v/>
      </c>
      <c r="K2082" s="13" t="str">
        <f>IFERROR(__xludf.DUMMYFUNCTION("if(isblank(B2082),,split(B2082,""-""))"),"")</f>
        <v/>
      </c>
    </row>
    <row r="2083">
      <c r="A2083" s="132"/>
      <c r="B2083" s="41"/>
      <c r="C2083" s="9"/>
      <c r="D2083" s="133"/>
      <c r="E2083" s="133"/>
      <c r="F2083" s="24"/>
      <c r="G2083" s="24"/>
      <c r="I2083" s="13" t="str">
        <f>IFERROR(__xludf.DUMMYFUNCTION("if(isblank(A2083),,split(A2083,""-""))"),"")</f>
        <v/>
      </c>
      <c r="K2083" s="13" t="str">
        <f>IFERROR(__xludf.DUMMYFUNCTION("if(isblank(B2083),,split(B2083,""-""))"),"")</f>
        <v/>
      </c>
    </row>
    <row r="2084">
      <c r="A2084" s="132"/>
      <c r="B2084" s="41"/>
      <c r="C2084" s="9"/>
      <c r="D2084" s="133"/>
      <c r="E2084" s="133"/>
      <c r="F2084" s="24"/>
      <c r="G2084" s="24"/>
      <c r="I2084" s="13" t="str">
        <f>IFERROR(__xludf.DUMMYFUNCTION("if(isblank(A2084),,split(A2084,""-""))"),"")</f>
        <v/>
      </c>
      <c r="K2084" s="13" t="str">
        <f>IFERROR(__xludf.DUMMYFUNCTION("if(isblank(B2084),,split(B2084,""-""))"),"")</f>
        <v/>
      </c>
    </row>
    <row r="2085">
      <c r="A2085" s="132"/>
      <c r="B2085" s="41"/>
      <c r="C2085" s="9"/>
      <c r="D2085" s="133"/>
      <c r="E2085" s="133"/>
      <c r="F2085" s="24"/>
      <c r="G2085" s="24"/>
      <c r="I2085" s="13" t="str">
        <f>IFERROR(__xludf.DUMMYFUNCTION("if(isblank(A2085),,split(A2085,""-""))"),"")</f>
        <v/>
      </c>
      <c r="K2085" s="13" t="str">
        <f>IFERROR(__xludf.DUMMYFUNCTION("if(isblank(B2085),,split(B2085,""-""))"),"")</f>
        <v/>
      </c>
    </row>
    <row r="2086">
      <c r="A2086" s="132"/>
      <c r="B2086" s="41"/>
      <c r="C2086" s="9"/>
      <c r="D2086" s="133"/>
      <c r="E2086" s="133"/>
      <c r="F2086" s="24"/>
      <c r="G2086" s="24"/>
      <c r="I2086" s="13" t="str">
        <f>IFERROR(__xludf.DUMMYFUNCTION("if(isblank(A2086),,split(A2086,""-""))"),"")</f>
        <v/>
      </c>
      <c r="K2086" s="13" t="str">
        <f>IFERROR(__xludf.DUMMYFUNCTION("if(isblank(B2086),,split(B2086,""-""))"),"")</f>
        <v/>
      </c>
    </row>
    <row r="2087">
      <c r="A2087" s="132"/>
      <c r="B2087" s="41"/>
      <c r="C2087" s="9"/>
      <c r="D2087" s="133"/>
      <c r="E2087" s="133"/>
      <c r="F2087" s="24"/>
      <c r="G2087" s="24"/>
      <c r="I2087" s="13" t="str">
        <f>IFERROR(__xludf.DUMMYFUNCTION("if(isblank(A2087),,split(A2087,""-""))"),"")</f>
        <v/>
      </c>
      <c r="K2087" s="13" t="str">
        <f>IFERROR(__xludf.DUMMYFUNCTION("if(isblank(B2087),,split(B2087,""-""))"),"")</f>
        <v/>
      </c>
    </row>
    <row r="2088">
      <c r="A2088" s="132"/>
      <c r="B2088" s="41"/>
      <c r="C2088" s="9"/>
      <c r="D2088" s="133"/>
      <c r="E2088" s="133"/>
      <c r="F2088" s="24"/>
      <c r="G2088" s="24"/>
      <c r="I2088" s="13" t="str">
        <f>IFERROR(__xludf.DUMMYFUNCTION("if(isblank(A2088),,split(A2088,""-""))"),"")</f>
        <v/>
      </c>
      <c r="K2088" s="13" t="str">
        <f>IFERROR(__xludf.DUMMYFUNCTION("if(isblank(B2088),,split(B2088,""-""))"),"")</f>
        <v/>
      </c>
    </row>
    <row r="2089">
      <c r="A2089" s="132"/>
      <c r="B2089" s="41"/>
      <c r="C2089" s="9"/>
      <c r="D2089" s="133"/>
      <c r="E2089" s="133"/>
      <c r="F2089" s="24"/>
      <c r="G2089" s="24"/>
      <c r="I2089" s="13" t="str">
        <f>IFERROR(__xludf.DUMMYFUNCTION("if(isblank(A2089),,split(A2089,""-""))"),"")</f>
        <v/>
      </c>
      <c r="K2089" s="13" t="str">
        <f>IFERROR(__xludf.DUMMYFUNCTION("if(isblank(B2089),,split(B2089,""-""))"),"")</f>
        <v/>
      </c>
    </row>
    <row r="2090">
      <c r="A2090" s="132"/>
      <c r="B2090" s="41"/>
      <c r="C2090" s="9"/>
      <c r="D2090" s="133"/>
      <c r="E2090" s="133"/>
      <c r="F2090" s="24"/>
      <c r="G2090" s="24"/>
      <c r="I2090" s="13" t="str">
        <f>IFERROR(__xludf.DUMMYFUNCTION("if(isblank(A2090),,split(A2090,""-""))"),"")</f>
        <v/>
      </c>
      <c r="K2090" s="13" t="str">
        <f>IFERROR(__xludf.DUMMYFUNCTION("if(isblank(B2090),,split(B2090,""-""))"),"")</f>
        <v/>
      </c>
    </row>
    <row r="2091">
      <c r="A2091" s="132"/>
      <c r="B2091" s="41"/>
      <c r="C2091" s="9"/>
      <c r="D2091" s="133"/>
      <c r="E2091" s="133"/>
      <c r="F2091" s="24"/>
      <c r="G2091" s="24"/>
      <c r="I2091" s="13" t="str">
        <f>IFERROR(__xludf.DUMMYFUNCTION("if(isblank(A2091),,split(A2091,""-""))"),"")</f>
        <v/>
      </c>
      <c r="K2091" s="13" t="str">
        <f>IFERROR(__xludf.DUMMYFUNCTION("if(isblank(B2091),,split(B2091,""-""))"),"")</f>
        <v/>
      </c>
    </row>
    <row r="2092">
      <c r="A2092" s="132"/>
      <c r="B2092" s="41"/>
      <c r="C2092" s="9"/>
      <c r="D2092" s="133"/>
      <c r="E2092" s="133"/>
      <c r="F2092" s="24"/>
      <c r="G2092" s="24"/>
      <c r="I2092" s="13" t="str">
        <f>IFERROR(__xludf.DUMMYFUNCTION("if(isblank(A2092),,split(A2092,""-""))"),"")</f>
        <v/>
      </c>
      <c r="K2092" s="13" t="str">
        <f>IFERROR(__xludf.DUMMYFUNCTION("if(isblank(B2092),,split(B2092,""-""))"),"")</f>
        <v/>
      </c>
    </row>
    <row r="2093">
      <c r="A2093" s="132"/>
      <c r="B2093" s="41"/>
      <c r="C2093" s="9"/>
      <c r="D2093" s="133"/>
      <c r="E2093" s="133"/>
      <c r="F2093" s="24"/>
      <c r="G2093" s="24"/>
      <c r="I2093" s="13" t="str">
        <f>IFERROR(__xludf.DUMMYFUNCTION("if(isblank(A2093),,split(A2093,""-""))"),"")</f>
        <v/>
      </c>
      <c r="K2093" s="13" t="str">
        <f>IFERROR(__xludf.DUMMYFUNCTION("if(isblank(B2093),,split(B2093,""-""))"),"")</f>
        <v/>
      </c>
    </row>
    <row r="2094">
      <c r="A2094" s="132"/>
      <c r="B2094" s="41"/>
      <c r="C2094" s="9"/>
      <c r="D2094" s="133"/>
      <c r="E2094" s="133"/>
      <c r="F2094" s="24"/>
      <c r="G2094" s="24"/>
      <c r="I2094" s="13" t="str">
        <f>IFERROR(__xludf.DUMMYFUNCTION("if(isblank(A2094),,split(A2094,""-""))"),"")</f>
        <v/>
      </c>
      <c r="K2094" s="13" t="str">
        <f>IFERROR(__xludf.DUMMYFUNCTION("if(isblank(B2094),,split(B2094,""-""))"),"")</f>
        <v/>
      </c>
    </row>
    <row r="2095">
      <c r="A2095" s="132"/>
      <c r="B2095" s="41"/>
      <c r="C2095" s="9"/>
      <c r="D2095" s="133"/>
      <c r="E2095" s="133"/>
      <c r="F2095" s="24"/>
      <c r="G2095" s="24"/>
      <c r="I2095" s="13" t="str">
        <f>IFERROR(__xludf.DUMMYFUNCTION("if(isblank(A2095),,split(A2095,""-""))"),"")</f>
        <v/>
      </c>
      <c r="K2095" s="13" t="str">
        <f>IFERROR(__xludf.DUMMYFUNCTION("if(isblank(B2095),,split(B2095,""-""))"),"")</f>
        <v/>
      </c>
    </row>
    <row r="2096">
      <c r="A2096" s="132"/>
      <c r="B2096" s="41"/>
      <c r="C2096" s="9"/>
      <c r="D2096" s="133"/>
      <c r="E2096" s="133"/>
      <c r="F2096" s="24"/>
      <c r="G2096" s="24"/>
      <c r="I2096" s="13" t="str">
        <f>IFERROR(__xludf.DUMMYFUNCTION("if(isblank(A2096),,split(A2096,""-""))"),"")</f>
        <v/>
      </c>
      <c r="K2096" s="13" t="str">
        <f>IFERROR(__xludf.DUMMYFUNCTION("if(isblank(B2096),,split(B2096,""-""))"),"")</f>
        <v/>
      </c>
    </row>
    <row r="2097">
      <c r="A2097" s="132"/>
      <c r="B2097" s="41"/>
      <c r="C2097" s="9"/>
      <c r="D2097" s="133"/>
      <c r="E2097" s="133"/>
      <c r="F2097" s="24"/>
      <c r="G2097" s="24"/>
      <c r="I2097" s="13" t="str">
        <f>IFERROR(__xludf.DUMMYFUNCTION("if(isblank(A2097),,split(A2097,""-""))"),"")</f>
        <v/>
      </c>
      <c r="K2097" s="13" t="str">
        <f>IFERROR(__xludf.DUMMYFUNCTION("if(isblank(B2097),,split(B2097,""-""))"),"")</f>
        <v/>
      </c>
    </row>
    <row r="2098">
      <c r="A2098" s="132"/>
      <c r="B2098" s="41"/>
      <c r="C2098" s="9"/>
      <c r="D2098" s="133"/>
      <c r="E2098" s="133"/>
      <c r="F2098" s="24"/>
      <c r="G2098" s="24"/>
      <c r="I2098" s="13" t="str">
        <f>IFERROR(__xludf.DUMMYFUNCTION("if(isblank(A2098),,split(A2098,""-""))"),"")</f>
        <v/>
      </c>
      <c r="K2098" s="13" t="str">
        <f>IFERROR(__xludf.DUMMYFUNCTION("if(isblank(B2098),,split(B2098,""-""))"),"")</f>
        <v/>
      </c>
    </row>
    <row r="2099">
      <c r="A2099" s="132"/>
      <c r="B2099" s="41"/>
      <c r="C2099" s="9"/>
      <c r="D2099" s="133"/>
      <c r="E2099" s="133"/>
      <c r="F2099" s="24"/>
      <c r="G2099" s="24"/>
      <c r="I2099" s="13" t="str">
        <f>IFERROR(__xludf.DUMMYFUNCTION("if(isblank(A2099),,split(A2099,""-""))"),"")</f>
        <v/>
      </c>
      <c r="K2099" s="13" t="str">
        <f>IFERROR(__xludf.DUMMYFUNCTION("if(isblank(B2099),,split(B2099,""-""))"),"")</f>
        <v/>
      </c>
    </row>
    <row r="2100">
      <c r="A2100" s="132"/>
      <c r="B2100" s="41"/>
      <c r="C2100" s="9"/>
      <c r="D2100" s="133"/>
      <c r="E2100" s="133"/>
      <c r="F2100" s="24"/>
      <c r="G2100" s="24"/>
      <c r="I2100" s="13" t="str">
        <f>IFERROR(__xludf.DUMMYFUNCTION("if(isblank(A2100),,split(A2100,""-""))"),"")</f>
        <v/>
      </c>
      <c r="K2100" s="13" t="str">
        <f>IFERROR(__xludf.DUMMYFUNCTION("if(isblank(B2100),,split(B2100,""-""))"),"")</f>
        <v/>
      </c>
    </row>
    <row r="2101">
      <c r="A2101" s="132"/>
      <c r="B2101" s="41"/>
      <c r="C2101" s="9"/>
      <c r="D2101" s="133"/>
      <c r="E2101" s="133"/>
      <c r="F2101" s="24"/>
      <c r="G2101" s="24"/>
      <c r="I2101" s="13" t="str">
        <f>IFERROR(__xludf.DUMMYFUNCTION("if(isblank(A2101),,split(A2101,""-""))"),"")</f>
        <v/>
      </c>
      <c r="K2101" s="13" t="str">
        <f>IFERROR(__xludf.DUMMYFUNCTION("if(isblank(B2101),,split(B2101,""-""))"),"")</f>
        <v/>
      </c>
    </row>
    <row r="2102">
      <c r="A2102" s="132"/>
      <c r="B2102" s="41"/>
      <c r="C2102" s="9"/>
      <c r="D2102" s="133"/>
      <c r="E2102" s="133"/>
      <c r="F2102" s="24"/>
      <c r="G2102" s="24"/>
      <c r="I2102" s="13" t="str">
        <f>IFERROR(__xludf.DUMMYFUNCTION("if(isblank(A2102),,split(A2102,""-""))"),"")</f>
        <v/>
      </c>
      <c r="K2102" s="13" t="str">
        <f>IFERROR(__xludf.DUMMYFUNCTION("if(isblank(B2102),,split(B2102,""-""))"),"")</f>
        <v/>
      </c>
    </row>
    <row r="2103">
      <c r="A2103" s="132"/>
      <c r="B2103" s="41"/>
      <c r="C2103" s="9"/>
      <c r="D2103" s="133"/>
      <c r="E2103" s="133"/>
      <c r="F2103" s="24"/>
      <c r="G2103" s="24"/>
      <c r="I2103" s="13" t="str">
        <f>IFERROR(__xludf.DUMMYFUNCTION("if(isblank(A2103),,split(A2103,""-""))"),"")</f>
        <v/>
      </c>
      <c r="K2103" s="13" t="str">
        <f>IFERROR(__xludf.DUMMYFUNCTION("if(isblank(B2103),,split(B2103,""-""))"),"")</f>
        <v/>
      </c>
    </row>
    <row r="2104">
      <c r="A2104" s="132"/>
      <c r="B2104" s="41"/>
      <c r="C2104" s="9"/>
      <c r="D2104" s="133"/>
      <c r="E2104" s="133"/>
      <c r="F2104" s="24"/>
      <c r="G2104" s="24"/>
      <c r="I2104" s="13" t="str">
        <f>IFERROR(__xludf.DUMMYFUNCTION("if(isblank(A2104),,split(A2104,""-""))"),"")</f>
        <v/>
      </c>
      <c r="K2104" s="13" t="str">
        <f>IFERROR(__xludf.DUMMYFUNCTION("if(isblank(B2104),,split(B2104,""-""))"),"")</f>
        <v/>
      </c>
    </row>
    <row r="2105">
      <c r="A2105" s="132"/>
      <c r="B2105" s="41"/>
      <c r="C2105" s="9"/>
      <c r="D2105" s="133"/>
      <c r="E2105" s="133"/>
      <c r="F2105" s="24"/>
      <c r="G2105" s="24"/>
      <c r="I2105" s="13" t="str">
        <f>IFERROR(__xludf.DUMMYFUNCTION("if(isblank(A2105),,split(A2105,""-""))"),"")</f>
        <v/>
      </c>
      <c r="K2105" s="13" t="str">
        <f>IFERROR(__xludf.DUMMYFUNCTION("if(isblank(B2105),,split(B2105,""-""))"),"")</f>
        <v/>
      </c>
    </row>
    <row r="2106">
      <c r="A2106" s="132"/>
      <c r="B2106" s="41"/>
      <c r="C2106" s="9"/>
      <c r="D2106" s="133"/>
      <c r="E2106" s="133"/>
      <c r="F2106" s="24"/>
      <c r="G2106" s="24"/>
      <c r="I2106" s="13" t="str">
        <f>IFERROR(__xludf.DUMMYFUNCTION("if(isblank(A2106),,split(A2106,""-""))"),"")</f>
        <v/>
      </c>
      <c r="K2106" s="13" t="str">
        <f>IFERROR(__xludf.DUMMYFUNCTION("if(isblank(B2106),,split(B2106,""-""))"),"")</f>
        <v/>
      </c>
    </row>
    <row r="2107">
      <c r="A2107" s="132"/>
      <c r="B2107" s="41"/>
      <c r="C2107" s="9"/>
      <c r="D2107" s="133"/>
      <c r="E2107" s="133"/>
      <c r="F2107" s="24"/>
      <c r="G2107" s="24"/>
      <c r="I2107" s="13" t="str">
        <f>IFERROR(__xludf.DUMMYFUNCTION("if(isblank(A2107),,split(A2107,""-""))"),"")</f>
        <v/>
      </c>
      <c r="K2107" s="13" t="str">
        <f>IFERROR(__xludf.DUMMYFUNCTION("if(isblank(B2107),,split(B2107,""-""))"),"")</f>
        <v/>
      </c>
    </row>
    <row r="2108">
      <c r="A2108" s="132"/>
      <c r="B2108" s="41"/>
      <c r="C2108" s="9"/>
      <c r="D2108" s="133"/>
      <c r="E2108" s="133"/>
      <c r="F2108" s="24"/>
      <c r="G2108" s="24"/>
      <c r="I2108" s="13" t="str">
        <f>IFERROR(__xludf.DUMMYFUNCTION("if(isblank(A2108),,split(A2108,""-""))"),"")</f>
        <v/>
      </c>
      <c r="K2108" s="13" t="str">
        <f>IFERROR(__xludf.DUMMYFUNCTION("if(isblank(B2108),,split(B2108,""-""))"),"")</f>
        <v/>
      </c>
    </row>
    <row r="2109">
      <c r="A2109" s="132"/>
      <c r="B2109" s="41"/>
      <c r="C2109" s="9"/>
      <c r="D2109" s="133"/>
      <c r="E2109" s="133"/>
      <c r="F2109" s="24"/>
      <c r="G2109" s="24"/>
      <c r="I2109" s="13" t="str">
        <f>IFERROR(__xludf.DUMMYFUNCTION("if(isblank(A2109),,split(A2109,""-""))"),"")</f>
        <v/>
      </c>
      <c r="K2109" s="13" t="str">
        <f>IFERROR(__xludf.DUMMYFUNCTION("if(isblank(B2109),,split(B2109,""-""))"),"")</f>
        <v/>
      </c>
    </row>
    <row r="2110">
      <c r="A2110" s="132"/>
      <c r="B2110" s="41"/>
      <c r="C2110" s="9"/>
      <c r="D2110" s="133"/>
      <c r="E2110" s="133"/>
      <c r="F2110" s="24"/>
      <c r="G2110" s="24"/>
      <c r="I2110" s="13" t="str">
        <f>IFERROR(__xludf.DUMMYFUNCTION("if(isblank(A2110),,split(A2110,""-""))"),"")</f>
        <v/>
      </c>
      <c r="K2110" s="13" t="str">
        <f>IFERROR(__xludf.DUMMYFUNCTION("if(isblank(B2110),,split(B2110,""-""))"),"")</f>
        <v/>
      </c>
    </row>
    <row r="2111">
      <c r="A2111" s="132"/>
      <c r="B2111" s="41"/>
      <c r="C2111" s="9"/>
      <c r="D2111" s="133"/>
      <c r="E2111" s="133"/>
      <c r="F2111" s="24"/>
      <c r="G2111" s="24"/>
      <c r="I2111" s="13" t="str">
        <f>IFERROR(__xludf.DUMMYFUNCTION("if(isblank(A2111),,split(A2111,""-""))"),"")</f>
        <v/>
      </c>
      <c r="K2111" s="13" t="str">
        <f>IFERROR(__xludf.DUMMYFUNCTION("if(isblank(B2111),,split(B2111,""-""))"),"")</f>
        <v/>
      </c>
    </row>
    <row r="2112">
      <c r="A2112" s="132"/>
      <c r="B2112" s="41"/>
      <c r="C2112" s="9"/>
      <c r="D2112" s="133"/>
      <c r="E2112" s="133"/>
      <c r="F2112" s="24"/>
      <c r="G2112" s="24"/>
      <c r="I2112" s="13" t="str">
        <f>IFERROR(__xludf.DUMMYFUNCTION("if(isblank(A2112),,split(A2112,""-""))"),"")</f>
        <v/>
      </c>
      <c r="K2112" s="13" t="str">
        <f>IFERROR(__xludf.DUMMYFUNCTION("if(isblank(B2112),,split(B2112,""-""))"),"")</f>
        <v/>
      </c>
    </row>
    <row r="2113">
      <c r="A2113" s="132"/>
      <c r="B2113" s="41"/>
      <c r="C2113" s="9"/>
      <c r="D2113" s="133"/>
      <c r="E2113" s="133"/>
      <c r="F2113" s="24"/>
      <c r="G2113" s="24"/>
      <c r="I2113" s="13" t="str">
        <f>IFERROR(__xludf.DUMMYFUNCTION("if(isblank(A2113),,split(A2113,""-""))"),"")</f>
        <v/>
      </c>
      <c r="K2113" s="13" t="str">
        <f>IFERROR(__xludf.DUMMYFUNCTION("if(isblank(B2113),,split(B2113,""-""))"),"")</f>
        <v/>
      </c>
    </row>
    <row r="2114">
      <c r="A2114" s="132"/>
      <c r="B2114" s="41"/>
      <c r="C2114" s="9"/>
      <c r="D2114" s="133"/>
      <c r="E2114" s="133"/>
      <c r="F2114" s="24"/>
      <c r="G2114" s="24"/>
      <c r="I2114" s="13" t="str">
        <f>IFERROR(__xludf.DUMMYFUNCTION("if(isblank(A2114),,split(A2114,""-""))"),"")</f>
        <v/>
      </c>
      <c r="K2114" s="13" t="str">
        <f>IFERROR(__xludf.DUMMYFUNCTION("if(isblank(B2114),,split(B2114,""-""))"),"")</f>
        <v/>
      </c>
    </row>
    <row r="2115">
      <c r="A2115" s="132"/>
      <c r="B2115" s="41"/>
      <c r="C2115" s="9"/>
      <c r="D2115" s="133"/>
      <c r="E2115" s="133"/>
      <c r="F2115" s="24"/>
      <c r="G2115" s="24"/>
      <c r="I2115" s="13" t="str">
        <f>IFERROR(__xludf.DUMMYFUNCTION("if(isblank(A2115),,split(A2115,""-""))"),"")</f>
        <v/>
      </c>
      <c r="K2115" s="13" t="str">
        <f>IFERROR(__xludf.DUMMYFUNCTION("if(isblank(B2115),,split(B2115,""-""))"),"")</f>
        <v/>
      </c>
    </row>
    <row r="2116">
      <c r="A2116" s="132"/>
      <c r="B2116" s="41"/>
      <c r="C2116" s="9"/>
      <c r="D2116" s="133"/>
      <c r="E2116" s="133"/>
      <c r="F2116" s="24"/>
      <c r="G2116" s="24"/>
      <c r="I2116" s="13" t="str">
        <f>IFERROR(__xludf.DUMMYFUNCTION("if(isblank(A2116),,split(A2116,""-""))"),"")</f>
        <v/>
      </c>
      <c r="K2116" s="13" t="str">
        <f>IFERROR(__xludf.DUMMYFUNCTION("if(isblank(B2116),,split(B2116,""-""))"),"")</f>
        <v/>
      </c>
    </row>
    <row r="2117">
      <c r="A2117" s="132"/>
      <c r="B2117" s="41"/>
      <c r="C2117" s="9"/>
      <c r="D2117" s="133"/>
      <c r="E2117" s="133"/>
      <c r="F2117" s="24"/>
      <c r="G2117" s="24"/>
      <c r="I2117" s="13" t="str">
        <f>IFERROR(__xludf.DUMMYFUNCTION("if(isblank(A2117),,split(A2117,""-""))"),"")</f>
        <v/>
      </c>
      <c r="K2117" s="13" t="str">
        <f>IFERROR(__xludf.DUMMYFUNCTION("if(isblank(B2117),,split(B2117,""-""))"),"")</f>
        <v/>
      </c>
    </row>
    <row r="2118">
      <c r="A2118" s="132"/>
      <c r="B2118" s="41"/>
      <c r="C2118" s="9"/>
      <c r="D2118" s="133"/>
      <c r="E2118" s="133"/>
      <c r="F2118" s="24"/>
      <c r="G2118" s="24"/>
      <c r="I2118" s="13" t="str">
        <f>IFERROR(__xludf.DUMMYFUNCTION("if(isblank(A2118),,split(A2118,""-""))"),"")</f>
        <v/>
      </c>
      <c r="K2118" s="13" t="str">
        <f>IFERROR(__xludf.DUMMYFUNCTION("if(isblank(B2118),,split(B2118,""-""))"),"")</f>
        <v/>
      </c>
    </row>
    <row r="2119">
      <c r="A2119" s="132"/>
      <c r="B2119" s="41"/>
      <c r="C2119" s="9"/>
      <c r="D2119" s="133"/>
      <c r="E2119" s="133"/>
      <c r="F2119" s="24"/>
      <c r="G2119" s="24"/>
      <c r="I2119" s="13" t="str">
        <f>IFERROR(__xludf.DUMMYFUNCTION("if(isblank(A2119),,split(A2119,""-""))"),"")</f>
        <v/>
      </c>
      <c r="K2119" s="13" t="str">
        <f>IFERROR(__xludf.DUMMYFUNCTION("if(isblank(B2119),,split(B2119,""-""))"),"")</f>
        <v/>
      </c>
    </row>
    <row r="2120">
      <c r="A2120" s="132"/>
      <c r="B2120" s="41"/>
      <c r="C2120" s="9"/>
      <c r="D2120" s="133"/>
      <c r="E2120" s="133"/>
      <c r="F2120" s="24"/>
      <c r="G2120" s="24"/>
      <c r="I2120" s="13" t="str">
        <f>IFERROR(__xludf.DUMMYFUNCTION("if(isblank(A2120),,split(A2120,""-""))"),"")</f>
        <v/>
      </c>
      <c r="K2120" s="13" t="str">
        <f>IFERROR(__xludf.DUMMYFUNCTION("if(isblank(B2120),,split(B2120,""-""))"),"")</f>
        <v/>
      </c>
    </row>
    <row r="2121">
      <c r="A2121" s="132"/>
      <c r="B2121" s="41"/>
      <c r="C2121" s="9"/>
      <c r="D2121" s="133"/>
      <c r="E2121" s="133"/>
      <c r="F2121" s="24"/>
      <c r="G2121" s="24"/>
      <c r="I2121" s="13" t="str">
        <f>IFERROR(__xludf.DUMMYFUNCTION("if(isblank(A2121),,split(A2121,""-""))"),"")</f>
        <v/>
      </c>
      <c r="K2121" s="13" t="str">
        <f>IFERROR(__xludf.DUMMYFUNCTION("if(isblank(B2121),,split(B2121,""-""))"),"")</f>
        <v/>
      </c>
    </row>
    <row r="2122">
      <c r="A2122" s="132"/>
      <c r="B2122" s="41"/>
      <c r="C2122" s="9"/>
      <c r="D2122" s="133"/>
      <c r="E2122" s="133"/>
      <c r="F2122" s="24"/>
      <c r="G2122" s="24"/>
      <c r="I2122" s="13" t="str">
        <f>IFERROR(__xludf.DUMMYFUNCTION("if(isblank(A2122),,split(A2122,""-""))"),"")</f>
        <v/>
      </c>
      <c r="K2122" s="13" t="str">
        <f>IFERROR(__xludf.DUMMYFUNCTION("if(isblank(B2122),,split(B2122,""-""))"),"")</f>
        <v/>
      </c>
    </row>
    <row r="2123">
      <c r="A2123" s="132"/>
      <c r="B2123" s="41"/>
      <c r="C2123" s="9"/>
      <c r="D2123" s="133"/>
      <c r="E2123" s="133"/>
      <c r="F2123" s="24"/>
      <c r="G2123" s="24"/>
      <c r="I2123" s="13" t="str">
        <f>IFERROR(__xludf.DUMMYFUNCTION("if(isblank(A2123),,split(A2123,""-""))"),"")</f>
        <v/>
      </c>
      <c r="K2123" s="13" t="str">
        <f>IFERROR(__xludf.DUMMYFUNCTION("if(isblank(B2123),,split(B2123,""-""))"),"")</f>
        <v/>
      </c>
    </row>
    <row r="2124">
      <c r="A2124" s="132"/>
      <c r="B2124" s="41"/>
      <c r="C2124" s="9"/>
      <c r="D2124" s="133"/>
      <c r="E2124" s="133"/>
      <c r="F2124" s="24"/>
      <c r="G2124" s="24"/>
      <c r="I2124" s="13" t="str">
        <f>IFERROR(__xludf.DUMMYFUNCTION("if(isblank(A2124),,split(A2124,""-""))"),"")</f>
        <v/>
      </c>
      <c r="K2124" s="13" t="str">
        <f>IFERROR(__xludf.DUMMYFUNCTION("if(isblank(B2124),,split(B2124,""-""))"),"")</f>
        <v/>
      </c>
    </row>
    <row r="2125">
      <c r="A2125" s="132"/>
      <c r="B2125" s="41"/>
      <c r="C2125" s="9"/>
      <c r="D2125" s="133"/>
      <c r="E2125" s="133"/>
      <c r="F2125" s="24"/>
      <c r="G2125" s="24"/>
      <c r="I2125" s="13" t="str">
        <f>IFERROR(__xludf.DUMMYFUNCTION("if(isblank(A2125),,split(A2125,""-""))"),"")</f>
        <v/>
      </c>
      <c r="K2125" s="13" t="str">
        <f>IFERROR(__xludf.DUMMYFUNCTION("if(isblank(B2125),,split(B2125,""-""))"),"")</f>
        <v/>
      </c>
    </row>
    <row r="2126">
      <c r="A2126" s="132"/>
      <c r="B2126" s="41"/>
      <c r="C2126" s="9"/>
      <c r="D2126" s="133"/>
      <c r="E2126" s="133"/>
      <c r="F2126" s="24"/>
      <c r="G2126" s="24"/>
      <c r="I2126" s="13" t="str">
        <f>IFERROR(__xludf.DUMMYFUNCTION("if(isblank(A2126),,split(A2126,""-""))"),"")</f>
        <v/>
      </c>
      <c r="K2126" s="13" t="str">
        <f>IFERROR(__xludf.DUMMYFUNCTION("if(isblank(B2126),,split(B2126,""-""))"),"")</f>
        <v/>
      </c>
    </row>
    <row r="2127">
      <c r="A2127" s="132"/>
      <c r="B2127" s="41"/>
      <c r="C2127" s="9"/>
      <c r="D2127" s="133"/>
      <c r="E2127" s="133"/>
      <c r="F2127" s="24"/>
      <c r="G2127" s="24"/>
      <c r="I2127" s="13" t="str">
        <f>IFERROR(__xludf.DUMMYFUNCTION("if(isblank(A2127),,split(A2127,""-""))"),"")</f>
        <v/>
      </c>
      <c r="K2127" s="13" t="str">
        <f>IFERROR(__xludf.DUMMYFUNCTION("if(isblank(B2127),,split(B2127,""-""))"),"")</f>
        <v/>
      </c>
    </row>
    <row r="2128">
      <c r="A2128" s="132"/>
      <c r="B2128" s="41"/>
      <c r="C2128" s="9"/>
      <c r="D2128" s="133"/>
      <c r="E2128" s="133"/>
      <c r="F2128" s="24"/>
      <c r="G2128" s="24"/>
      <c r="I2128" s="13" t="str">
        <f>IFERROR(__xludf.DUMMYFUNCTION("if(isblank(A2128),,split(A2128,""-""))"),"")</f>
        <v/>
      </c>
      <c r="K2128" s="13" t="str">
        <f>IFERROR(__xludf.DUMMYFUNCTION("if(isblank(B2128),,split(B2128,""-""))"),"")</f>
        <v/>
      </c>
    </row>
    <row r="2129">
      <c r="A2129" s="132"/>
      <c r="B2129" s="41"/>
      <c r="C2129" s="9"/>
      <c r="D2129" s="133"/>
      <c r="E2129" s="133"/>
      <c r="F2129" s="24"/>
      <c r="G2129" s="24"/>
      <c r="I2129" s="13" t="str">
        <f>IFERROR(__xludf.DUMMYFUNCTION("if(isblank(A2129),,split(A2129,""-""))"),"")</f>
        <v/>
      </c>
      <c r="K2129" s="13" t="str">
        <f>IFERROR(__xludf.DUMMYFUNCTION("if(isblank(B2129),,split(B2129,""-""))"),"")</f>
        <v/>
      </c>
    </row>
    <row r="2130">
      <c r="A2130" s="132"/>
      <c r="B2130" s="41"/>
      <c r="C2130" s="9"/>
      <c r="D2130" s="133"/>
      <c r="E2130" s="133"/>
      <c r="F2130" s="24"/>
      <c r="G2130" s="24"/>
      <c r="I2130" s="13" t="str">
        <f>IFERROR(__xludf.DUMMYFUNCTION("if(isblank(A2130),,split(A2130,""-""))"),"")</f>
        <v/>
      </c>
      <c r="K2130" s="13" t="str">
        <f>IFERROR(__xludf.DUMMYFUNCTION("if(isblank(B2130),,split(B2130,""-""))"),"")</f>
        <v/>
      </c>
    </row>
    <row r="2131">
      <c r="A2131" s="132"/>
      <c r="B2131" s="41"/>
      <c r="C2131" s="9"/>
      <c r="D2131" s="133"/>
      <c r="E2131" s="133"/>
      <c r="F2131" s="24"/>
      <c r="G2131" s="24"/>
      <c r="I2131" s="13" t="str">
        <f>IFERROR(__xludf.DUMMYFUNCTION("if(isblank(A2131),,split(A2131,""-""))"),"")</f>
        <v/>
      </c>
      <c r="K2131" s="13" t="str">
        <f>IFERROR(__xludf.DUMMYFUNCTION("if(isblank(B2131),,split(B2131,""-""))"),"")</f>
        <v/>
      </c>
    </row>
    <row r="2132">
      <c r="A2132" s="132"/>
      <c r="B2132" s="41"/>
      <c r="C2132" s="9"/>
      <c r="D2132" s="133"/>
      <c r="E2132" s="133"/>
      <c r="F2132" s="24"/>
      <c r="G2132" s="24"/>
      <c r="I2132" s="13" t="str">
        <f>IFERROR(__xludf.DUMMYFUNCTION("if(isblank(A2132),,split(A2132,""-""))"),"")</f>
        <v/>
      </c>
      <c r="K2132" s="13" t="str">
        <f>IFERROR(__xludf.DUMMYFUNCTION("if(isblank(B2132),,split(B2132,""-""))"),"")</f>
        <v/>
      </c>
    </row>
    <row r="2133">
      <c r="A2133" s="132"/>
      <c r="B2133" s="41"/>
      <c r="C2133" s="9"/>
      <c r="D2133" s="133"/>
      <c r="E2133" s="133"/>
      <c r="F2133" s="24"/>
      <c r="G2133" s="24"/>
      <c r="I2133" s="13" t="str">
        <f>IFERROR(__xludf.DUMMYFUNCTION("if(isblank(A2133),,split(A2133,""-""))"),"")</f>
        <v/>
      </c>
      <c r="K2133" s="13" t="str">
        <f>IFERROR(__xludf.DUMMYFUNCTION("if(isblank(B2133),,split(B2133,""-""))"),"")</f>
        <v/>
      </c>
    </row>
    <row r="2134">
      <c r="A2134" s="132"/>
      <c r="B2134" s="41"/>
      <c r="C2134" s="9"/>
      <c r="D2134" s="133"/>
      <c r="E2134" s="133"/>
      <c r="F2134" s="24"/>
      <c r="G2134" s="24"/>
      <c r="I2134" s="13" t="str">
        <f>IFERROR(__xludf.DUMMYFUNCTION("if(isblank(A2134),,split(A2134,""-""))"),"")</f>
        <v/>
      </c>
      <c r="K2134" s="13" t="str">
        <f>IFERROR(__xludf.DUMMYFUNCTION("if(isblank(B2134),,split(B2134,""-""))"),"")</f>
        <v/>
      </c>
    </row>
    <row r="2135">
      <c r="A2135" s="132"/>
      <c r="B2135" s="41"/>
      <c r="C2135" s="9"/>
      <c r="D2135" s="133"/>
      <c r="E2135" s="133"/>
      <c r="F2135" s="24"/>
      <c r="G2135" s="24"/>
      <c r="I2135" s="13" t="str">
        <f>IFERROR(__xludf.DUMMYFUNCTION("if(isblank(A2135),,split(A2135,""-""))"),"")</f>
        <v/>
      </c>
      <c r="K2135" s="13" t="str">
        <f>IFERROR(__xludf.DUMMYFUNCTION("if(isblank(B2135),,split(B2135,""-""))"),"")</f>
        <v/>
      </c>
    </row>
    <row r="2136">
      <c r="A2136" s="132"/>
      <c r="B2136" s="41"/>
      <c r="C2136" s="9"/>
      <c r="D2136" s="133"/>
      <c r="E2136" s="133"/>
      <c r="F2136" s="24"/>
      <c r="G2136" s="24"/>
      <c r="I2136" s="13" t="str">
        <f>IFERROR(__xludf.DUMMYFUNCTION("if(isblank(A2136),,split(A2136,""-""))"),"")</f>
        <v/>
      </c>
      <c r="K2136" s="13" t="str">
        <f>IFERROR(__xludf.DUMMYFUNCTION("if(isblank(B2136),,split(B2136,""-""))"),"")</f>
        <v/>
      </c>
    </row>
    <row r="2137">
      <c r="A2137" s="132"/>
      <c r="B2137" s="41"/>
      <c r="C2137" s="9"/>
      <c r="D2137" s="133"/>
      <c r="E2137" s="133"/>
      <c r="F2137" s="24"/>
      <c r="G2137" s="24"/>
      <c r="I2137" s="13" t="str">
        <f>IFERROR(__xludf.DUMMYFUNCTION("if(isblank(A2137),,split(A2137,""-""))"),"")</f>
        <v/>
      </c>
      <c r="K2137" s="13" t="str">
        <f>IFERROR(__xludf.DUMMYFUNCTION("if(isblank(B2137),,split(B2137,""-""))"),"")</f>
        <v/>
      </c>
    </row>
    <row r="2138">
      <c r="A2138" s="132"/>
      <c r="B2138" s="41"/>
      <c r="C2138" s="9"/>
      <c r="D2138" s="133"/>
      <c r="E2138" s="133"/>
      <c r="F2138" s="24"/>
      <c r="G2138" s="24"/>
      <c r="I2138" s="13" t="str">
        <f>IFERROR(__xludf.DUMMYFUNCTION("if(isblank(A2138),,split(A2138,""-""))"),"")</f>
        <v/>
      </c>
      <c r="K2138" s="13" t="str">
        <f>IFERROR(__xludf.DUMMYFUNCTION("if(isblank(B2138),,split(B2138,""-""))"),"")</f>
        <v/>
      </c>
    </row>
    <row r="2139">
      <c r="A2139" s="132"/>
      <c r="B2139" s="41"/>
      <c r="C2139" s="9"/>
      <c r="D2139" s="133"/>
      <c r="E2139" s="133"/>
      <c r="F2139" s="24"/>
      <c r="G2139" s="24"/>
      <c r="I2139" s="13" t="str">
        <f>IFERROR(__xludf.DUMMYFUNCTION("if(isblank(A2139),,split(A2139,""-""))"),"")</f>
        <v/>
      </c>
      <c r="K2139" s="13" t="str">
        <f>IFERROR(__xludf.DUMMYFUNCTION("if(isblank(B2139),,split(B2139,""-""))"),"")</f>
        <v/>
      </c>
    </row>
    <row r="2140">
      <c r="A2140" s="132"/>
      <c r="B2140" s="41"/>
      <c r="C2140" s="9"/>
      <c r="D2140" s="133"/>
      <c r="E2140" s="133"/>
      <c r="F2140" s="24"/>
      <c r="G2140" s="24"/>
      <c r="I2140" s="13" t="str">
        <f>IFERROR(__xludf.DUMMYFUNCTION("if(isblank(A2140),,split(A2140,""-""))"),"")</f>
        <v/>
      </c>
      <c r="K2140" s="13" t="str">
        <f>IFERROR(__xludf.DUMMYFUNCTION("if(isblank(B2140),,split(B2140,""-""))"),"")</f>
        <v/>
      </c>
    </row>
    <row r="2141">
      <c r="A2141" s="132"/>
      <c r="B2141" s="41"/>
      <c r="C2141" s="9"/>
      <c r="D2141" s="133"/>
      <c r="E2141" s="133"/>
      <c r="F2141" s="24"/>
      <c r="G2141" s="24"/>
      <c r="I2141" s="13" t="str">
        <f>IFERROR(__xludf.DUMMYFUNCTION("if(isblank(A2141),,split(A2141,""-""))"),"")</f>
        <v/>
      </c>
      <c r="K2141" s="13" t="str">
        <f>IFERROR(__xludf.DUMMYFUNCTION("if(isblank(B2141),,split(B2141,""-""))"),"")</f>
        <v/>
      </c>
    </row>
    <row r="2142">
      <c r="A2142" s="132"/>
      <c r="B2142" s="41"/>
      <c r="C2142" s="9"/>
      <c r="D2142" s="133"/>
      <c r="E2142" s="133"/>
      <c r="F2142" s="24"/>
      <c r="G2142" s="24"/>
      <c r="I2142" s="13" t="str">
        <f>IFERROR(__xludf.DUMMYFUNCTION("if(isblank(A2142),,split(A2142,""-""))"),"")</f>
        <v/>
      </c>
      <c r="K2142" s="13" t="str">
        <f>IFERROR(__xludf.DUMMYFUNCTION("if(isblank(B2142),,split(B2142,""-""))"),"")</f>
        <v/>
      </c>
    </row>
    <row r="2143">
      <c r="A2143" s="132"/>
      <c r="B2143" s="41"/>
      <c r="C2143" s="9"/>
      <c r="D2143" s="133"/>
      <c r="E2143" s="133"/>
      <c r="F2143" s="24"/>
      <c r="G2143" s="24"/>
      <c r="I2143" s="13" t="str">
        <f>IFERROR(__xludf.DUMMYFUNCTION("if(isblank(A2143),,split(A2143,""-""))"),"")</f>
        <v/>
      </c>
      <c r="K2143" s="13" t="str">
        <f>IFERROR(__xludf.DUMMYFUNCTION("if(isblank(B2143),,split(B2143,""-""))"),"")</f>
        <v/>
      </c>
    </row>
    <row r="2144">
      <c r="A2144" s="132"/>
      <c r="B2144" s="41"/>
      <c r="C2144" s="9"/>
      <c r="D2144" s="133"/>
      <c r="E2144" s="133"/>
      <c r="F2144" s="24"/>
      <c r="G2144" s="24"/>
      <c r="I2144" s="13" t="str">
        <f>IFERROR(__xludf.DUMMYFUNCTION("if(isblank(A2144),,split(A2144,""-""))"),"")</f>
        <v/>
      </c>
      <c r="K2144" s="13" t="str">
        <f>IFERROR(__xludf.DUMMYFUNCTION("if(isblank(B2144),,split(B2144,""-""))"),"")</f>
        <v/>
      </c>
    </row>
    <row r="2145">
      <c r="A2145" s="132"/>
      <c r="B2145" s="41"/>
      <c r="C2145" s="9"/>
      <c r="D2145" s="133"/>
      <c r="E2145" s="133"/>
      <c r="F2145" s="24"/>
      <c r="G2145" s="24"/>
      <c r="I2145" s="13" t="str">
        <f>IFERROR(__xludf.DUMMYFUNCTION("if(isblank(A2145),,split(A2145,""-""))"),"")</f>
        <v/>
      </c>
      <c r="K2145" s="13" t="str">
        <f>IFERROR(__xludf.DUMMYFUNCTION("if(isblank(B2145),,split(B2145,""-""))"),"")</f>
        <v/>
      </c>
    </row>
    <row r="2146">
      <c r="A2146" s="132"/>
      <c r="B2146" s="41"/>
      <c r="C2146" s="9"/>
      <c r="D2146" s="133"/>
      <c r="E2146" s="133"/>
      <c r="F2146" s="24"/>
      <c r="G2146" s="24"/>
      <c r="I2146" s="13" t="str">
        <f>IFERROR(__xludf.DUMMYFUNCTION("if(isblank(A2146),,split(A2146,""-""))"),"")</f>
        <v/>
      </c>
      <c r="K2146" s="13" t="str">
        <f>IFERROR(__xludf.DUMMYFUNCTION("if(isblank(B2146),,split(B2146,""-""))"),"")</f>
        <v/>
      </c>
    </row>
    <row r="2147">
      <c r="A2147" s="132"/>
      <c r="B2147" s="41"/>
      <c r="C2147" s="9"/>
      <c r="D2147" s="133"/>
      <c r="E2147" s="133"/>
      <c r="F2147" s="24"/>
      <c r="G2147" s="24"/>
      <c r="I2147" s="13" t="str">
        <f>IFERROR(__xludf.DUMMYFUNCTION("if(isblank(A2147),,split(A2147,""-""))"),"")</f>
        <v/>
      </c>
      <c r="K2147" s="13" t="str">
        <f>IFERROR(__xludf.DUMMYFUNCTION("if(isblank(B2147),,split(B2147,""-""))"),"")</f>
        <v/>
      </c>
    </row>
    <row r="2148">
      <c r="A2148" s="132"/>
      <c r="B2148" s="41"/>
      <c r="C2148" s="9"/>
      <c r="D2148" s="133"/>
      <c r="E2148" s="133"/>
      <c r="F2148" s="24"/>
      <c r="G2148" s="24"/>
      <c r="I2148" s="13" t="str">
        <f>IFERROR(__xludf.DUMMYFUNCTION("if(isblank(A2148),,split(A2148,""-""))"),"")</f>
        <v/>
      </c>
      <c r="K2148" s="13" t="str">
        <f>IFERROR(__xludf.DUMMYFUNCTION("if(isblank(B2148),,split(B2148,""-""))"),"")</f>
        <v/>
      </c>
    </row>
    <row r="2149">
      <c r="A2149" s="132"/>
      <c r="B2149" s="41"/>
      <c r="C2149" s="9"/>
      <c r="D2149" s="133"/>
      <c r="E2149" s="133"/>
      <c r="F2149" s="24"/>
      <c r="G2149" s="24"/>
      <c r="I2149" s="13" t="str">
        <f>IFERROR(__xludf.DUMMYFUNCTION("if(isblank(A2149),,split(A2149,""-""))"),"")</f>
        <v/>
      </c>
      <c r="K2149" s="13" t="str">
        <f>IFERROR(__xludf.DUMMYFUNCTION("if(isblank(B2149),,split(B2149,""-""))"),"")</f>
        <v/>
      </c>
    </row>
    <row r="2150">
      <c r="A2150" s="132"/>
      <c r="B2150" s="41"/>
      <c r="C2150" s="9"/>
      <c r="D2150" s="133"/>
      <c r="E2150" s="133"/>
      <c r="F2150" s="24"/>
      <c r="G2150" s="24"/>
      <c r="I2150" s="13" t="str">
        <f>IFERROR(__xludf.DUMMYFUNCTION("if(isblank(A2150),,split(A2150,""-""))"),"")</f>
        <v/>
      </c>
      <c r="K2150" s="13" t="str">
        <f>IFERROR(__xludf.DUMMYFUNCTION("if(isblank(B2150),,split(B2150,""-""))"),"")</f>
        <v/>
      </c>
    </row>
    <row r="2151">
      <c r="A2151" s="132"/>
      <c r="B2151" s="41"/>
      <c r="C2151" s="9"/>
      <c r="D2151" s="133"/>
      <c r="E2151" s="133"/>
      <c r="F2151" s="24"/>
      <c r="G2151" s="24"/>
      <c r="I2151" s="13" t="str">
        <f>IFERROR(__xludf.DUMMYFUNCTION("if(isblank(A2151),,split(A2151,""-""))"),"")</f>
        <v/>
      </c>
      <c r="K2151" s="13" t="str">
        <f>IFERROR(__xludf.DUMMYFUNCTION("if(isblank(B2151),,split(B2151,""-""))"),"")</f>
        <v/>
      </c>
    </row>
    <row r="2152">
      <c r="A2152" s="132"/>
      <c r="B2152" s="41"/>
      <c r="C2152" s="9"/>
      <c r="D2152" s="133"/>
      <c r="E2152" s="133"/>
      <c r="F2152" s="24"/>
      <c r="G2152" s="24"/>
      <c r="I2152" s="13" t="str">
        <f>IFERROR(__xludf.DUMMYFUNCTION("if(isblank(A2152),,split(A2152,""-""))"),"")</f>
        <v/>
      </c>
      <c r="K2152" s="13" t="str">
        <f>IFERROR(__xludf.DUMMYFUNCTION("if(isblank(B2152),,split(B2152,""-""))"),"")</f>
        <v/>
      </c>
    </row>
    <row r="2153">
      <c r="A2153" s="132"/>
      <c r="B2153" s="41"/>
      <c r="C2153" s="9"/>
      <c r="D2153" s="133"/>
      <c r="E2153" s="133"/>
      <c r="F2153" s="24"/>
      <c r="G2153" s="24"/>
      <c r="I2153" s="13" t="str">
        <f>IFERROR(__xludf.DUMMYFUNCTION("if(isblank(A2153),,split(A2153,""-""))"),"")</f>
        <v/>
      </c>
      <c r="K2153" s="13" t="str">
        <f>IFERROR(__xludf.DUMMYFUNCTION("if(isblank(B2153),,split(B2153,""-""))"),"")</f>
        <v/>
      </c>
    </row>
    <row r="2154">
      <c r="A2154" s="132"/>
      <c r="B2154" s="41"/>
      <c r="C2154" s="9"/>
      <c r="D2154" s="133"/>
      <c r="E2154" s="133"/>
      <c r="F2154" s="24"/>
      <c r="G2154" s="24"/>
      <c r="I2154" s="13" t="str">
        <f>IFERROR(__xludf.DUMMYFUNCTION("if(isblank(A2154),,split(A2154,""-""))"),"")</f>
        <v/>
      </c>
      <c r="K2154" s="13" t="str">
        <f>IFERROR(__xludf.DUMMYFUNCTION("if(isblank(B2154),,split(B2154,""-""))"),"")</f>
        <v/>
      </c>
    </row>
    <row r="2155">
      <c r="A2155" s="132"/>
      <c r="B2155" s="41"/>
      <c r="C2155" s="9"/>
      <c r="D2155" s="133"/>
      <c r="E2155" s="133"/>
      <c r="F2155" s="24"/>
      <c r="G2155" s="24"/>
      <c r="I2155" s="13" t="str">
        <f>IFERROR(__xludf.DUMMYFUNCTION("if(isblank(A2155),,split(A2155,""-""))"),"")</f>
        <v/>
      </c>
      <c r="K2155" s="13" t="str">
        <f>IFERROR(__xludf.DUMMYFUNCTION("if(isblank(B2155),,split(B2155,""-""))"),"")</f>
        <v/>
      </c>
    </row>
    <row r="2156">
      <c r="A2156" s="132"/>
      <c r="B2156" s="41"/>
      <c r="C2156" s="9"/>
      <c r="D2156" s="133"/>
      <c r="E2156" s="133"/>
      <c r="F2156" s="24"/>
      <c r="G2156" s="24"/>
      <c r="I2156" s="13" t="str">
        <f>IFERROR(__xludf.DUMMYFUNCTION("if(isblank(A2156),,split(A2156,""-""))"),"")</f>
        <v/>
      </c>
      <c r="K2156" s="13" t="str">
        <f>IFERROR(__xludf.DUMMYFUNCTION("if(isblank(B2156),,split(B2156,""-""))"),"")</f>
        <v/>
      </c>
    </row>
    <row r="2157">
      <c r="A2157" s="132"/>
      <c r="B2157" s="41"/>
      <c r="C2157" s="9"/>
      <c r="D2157" s="133"/>
      <c r="E2157" s="133"/>
      <c r="F2157" s="24"/>
      <c r="G2157" s="24"/>
      <c r="I2157" s="13" t="str">
        <f>IFERROR(__xludf.DUMMYFUNCTION("if(isblank(A2157),,split(A2157,""-""))"),"")</f>
        <v/>
      </c>
      <c r="K2157" s="13" t="str">
        <f>IFERROR(__xludf.DUMMYFUNCTION("if(isblank(B2157),,split(B2157,""-""))"),"")</f>
        <v/>
      </c>
    </row>
    <row r="2158">
      <c r="A2158" s="132"/>
      <c r="B2158" s="41"/>
      <c r="C2158" s="9"/>
      <c r="D2158" s="133"/>
      <c r="E2158" s="133"/>
      <c r="F2158" s="24"/>
      <c r="G2158" s="24"/>
      <c r="I2158" s="13" t="str">
        <f>IFERROR(__xludf.DUMMYFUNCTION("if(isblank(A2158),,split(A2158,""-""))"),"")</f>
        <v/>
      </c>
      <c r="K2158" s="13" t="str">
        <f>IFERROR(__xludf.DUMMYFUNCTION("if(isblank(B2158),,split(B2158,""-""))"),"")</f>
        <v/>
      </c>
    </row>
    <row r="2159">
      <c r="A2159" s="132"/>
      <c r="B2159" s="41"/>
      <c r="C2159" s="9"/>
      <c r="D2159" s="133"/>
      <c r="E2159" s="133"/>
      <c r="F2159" s="24"/>
      <c r="G2159" s="24"/>
      <c r="I2159" s="13" t="str">
        <f>IFERROR(__xludf.DUMMYFUNCTION("if(isblank(A2159),,split(A2159,""-""))"),"")</f>
        <v/>
      </c>
      <c r="K2159" s="13" t="str">
        <f>IFERROR(__xludf.DUMMYFUNCTION("if(isblank(B2159),,split(B2159,""-""))"),"")</f>
        <v/>
      </c>
    </row>
    <row r="2160">
      <c r="A2160" s="132"/>
      <c r="B2160" s="41"/>
      <c r="C2160" s="9"/>
      <c r="D2160" s="133"/>
      <c r="E2160" s="133"/>
      <c r="F2160" s="24"/>
      <c r="G2160" s="24"/>
      <c r="I2160" s="13" t="str">
        <f>IFERROR(__xludf.DUMMYFUNCTION("if(isblank(A2160),,split(A2160,""-""))"),"")</f>
        <v/>
      </c>
      <c r="K2160" s="13" t="str">
        <f>IFERROR(__xludf.DUMMYFUNCTION("if(isblank(B2160),,split(B2160,""-""))"),"")</f>
        <v/>
      </c>
    </row>
    <row r="2161">
      <c r="A2161" s="132"/>
      <c r="B2161" s="41"/>
      <c r="C2161" s="9"/>
      <c r="D2161" s="133"/>
      <c r="E2161" s="133"/>
      <c r="F2161" s="24"/>
      <c r="G2161" s="24"/>
      <c r="I2161" s="13" t="str">
        <f>IFERROR(__xludf.DUMMYFUNCTION("if(isblank(A2161),,split(A2161,""-""))"),"")</f>
        <v/>
      </c>
      <c r="K2161" s="13" t="str">
        <f>IFERROR(__xludf.DUMMYFUNCTION("if(isblank(B2161),,split(B2161,""-""))"),"")</f>
        <v/>
      </c>
    </row>
    <row r="2162">
      <c r="A2162" s="132"/>
      <c r="B2162" s="41"/>
      <c r="C2162" s="9"/>
      <c r="D2162" s="133"/>
      <c r="E2162" s="133"/>
      <c r="F2162" s="24"/>
      <c r="G2162" s="24"/>
      <c r="I2162" s="13" t="str">
        <f>IFERROR(__xludf.DUMMYFUNCTION("if(isblank(A2162),,split(A2162,""-""))"),"")</f>
        <v/>
      </c>
      <c r="K2162" s="13" t="str">
        <f>IFERROR(__xludf.DUMMYFUNCTION("if(isblank(B2162),,split(B2162,""-""))"),"")</f>
        <v/>
      </c>
    </row>
    <row r="2163">
      <c r="A2163" s="132"/>
      <c r="B2163" s="41"/>
      <c r="C2163" s="9"/>
      <c r="D2163" s="133"/>
      <c r="E2163" s="133"/>
      <c r="F2163" s="24"/>
      <c r="G2163" s="24"/>
      <c r="I2163" s="13" t="str">
        <f>IFERROR(__xludf.DUMMYFUNCTION("if(isblank(A2163),,split(A2163,""-""))"),"")</f>
        <v/>
      </c>
      <c r="K2163" s="13" t="str">
        <f>IFERROR(__xludf.DUMMYFUNCTION("if(isblank(B2163),,split(B2163,""-""))"),"")</f>
        <v/>
      </c>
    </row>
    <row r="2164">
      <c r="A2164" s="132"/>
      <c r="B2164" s="41"/>
      <c r="C2164" s="9"/>
      <c r="D2164" s="133"/>
      <c r="E2164" s="133"/>
      <c r="F2164" s="24"/>
      <c r="G2164" s="24"/>
      <c r="I2164" s="13" t="str">
        <f>IFERROR(__xludf.DUMMYFUNCTION("if(isblank(A2164),,split(A2164,""-""))"),"")</f>
        <v/>
      </c>
      <c r="K2164" s="13" t="str">
        <f>IFERROR(__xludf.DUMMYFUNCTION("if(isblank(B2164),,split(B2164,""-""))"),"")</f>
        <v/>
      </c>
    </row>
    <row r="2165">
      <c r="A2165" s="132"/>
      <c r="B2165" s="41"/>
      <c r="C2165" s="9"/>
      <c r="D2165" s="133"/>
      <c r="E2165" s="133"/>
      <c r="F2165" s="24"/>
      <c r="G2165" s="24"/>
      <c r="I2165" s="13" t="str">
        <f>IFERROR(__xludf.DUMMYFUNCTION("if(isblank(A2165),,split(A2165,""-""))"),"")</f>
        <v/>
      </c>
      <c r="K2165" s="13" t="str">
        <f>IFERROR(__xludf.DUMMYFUNCTION("if(isblank(B2165),,split(B2165,""-""))"),"")</f>
        <v/>
      </c>
    </row>
    <row r="2166">
      <c r="A2166" s="132"/>
      <c r="B2166" s="41"/>
      <c r="C2166" s="9"/>
      <c r="D2166" s="133"/>
      <c r="E2166" s="133"/>
      <c r="F2166" s="24"/>
      <c r="G2166" s="24"/>
      <c r="I2166" s="13" t="str">
        <f>IFERROR(__xludf.DUMMYFUNCTION("if(isblank(A2166),,split(A2166,""-""))"),"")</f>
        <v/>
      </c>
      <c r="K2166" s="13" t="str">
        <f>IFERROR(__xludf.DUMMYFUNCTION("if(isblank(B2166),,split(B2166,""-""))"),"")</f>
        <v/>
      </c>
    </row>
    <row r="2167">
      <c r="A2167" s="132"/>
      <c r="B2167" s="41"/>
      <c r="C2167" s="9"/>
      <c r="D2167" s="133"/>
      <c r="E2167" s="133"/>
      <c r="F2167" s="24"/>
      <c r="G2167" s="24"/>
      <c r="I2167" s="13" t="str">
        <f>IFERROR(__xludf.DUMMYFUNCTION("if(isblank(A2167),,split(A2167,""-""))"),"")</f>
        <v/>
      </c>
      <c r="K2167" s="13" t="str">
        <f>IFERROR(__xludf.DUMMYFUNCTION("if(isblank(B2167),,split(B2167,""-""))"),"")</f>
        <v/>
      </c>
    </row>
    <row r="2168">
      <c r="A2168" s="132"/>
      <c r="B2168" s="41"/>
      <c r="C2168" s="9"/>
      <c r="D2168" s="133"/>
      <c r="E2168" s="133"/>
      <c r="F2168" s="24"/>
      <c r="G2168" s="24"/>
      <c r="I2168" s="13" t="str">
        <f>IFERROR(__xludf.DUMMYFUNCTION("if(isblank(A2168),,split(A2168,""-""))"),"")</f>
        <v/>
      </c>
      <c r="K2168" s="13" t="str">
        <f>IFERROR(__xludf.DUMMYFUNCTION("if(isblank(B2168),,split(B2168,""-""))"),"")</f>
        <v/>
      </c>
    </row>
    <row r="2169">
      <c r="A2169" s="132"/>
      <c r="B2169" s="41"/>
      <c r="C2169" s="9"/>
      <c r="D2169" s="133"/>
      <c r="E2169" s="133"/>
      <c r="F2169" s="24"/>
      <c r="G2169" s="24"/>
      <c r="I2169" s="13" t="str">
        <f>IFERROR(__xludf.DUMMYFUNCTION("if(isblank(A2169),,split(A2169,""-""))"),"")</f>
        <v/>
      </c>
      <c r="K2169" s="13" t="str">
        <f>IFERROR(__xludf.DUMMYFUNCTION("if(isblank(B2169),,split(B2169,""-""))"),"")</f>
        <v/>
      </c>
    </row>
    <row r="2170">
      <c r="A2170" s="132"/>
      <c r="B2170" s="41"/>
      <c r="C2170" s="9"/>
      <c r="D2170" s="133"/>
      <c r="E2170" s="133"/>
      <c r="F2170" s="24"/>
      <c r="G2170" s="24"/>
      <c r="I2170" s="13" t="str">
        <f>IFERROR(__xludf.DUMMYFUNCTION("if(isblank(A2170),,split(A2170,""-""))"),"")</f>
        <v/>
      </c>
      <c r="K2170" s="13" t="str">
        <f>IFERROR(__xludf.DUMMYFUNCTION("if(isblank(B2170),,split(B2170,""-""))"),"")</f>
        <v/>
      </c>
    </row>
    <row r="2171">
      <c r="A2171" s="132"/>
      <c r="B2171" s="41"/>
      <c r="C2171" s="9"/>
      <c r="D2171" s="133"/>
      <c r="E2171" s="133"/>
      <c r="F2171" s="24"/>
      <c r="G2171" s="24"/>
      <c r="I2171" s="13" t="str">
        <f>IFERROR(__xludf.DUMMYFUNCTION("if(isblank(A2171),,split(A2171,""-""))"),"")</f>
        <v/>
      </c>
      <c r="K2171" s="13" t="str">
        <f>IFERROR(__xludf.DUMMYFUNCTION("if(isblank(B2171),,split(B2171,""-""))"),"")</f>
        <v/>
      </c>
    </row>
    <row r="2172">
      <c r="A2172" s="132"/>
      <c r="B2172" s="41"/>
      <c r="C2172" s="9"/>
      <c r="D2172" s="133"/>
      <c r="E2172" s="133"/>
      <c r="F2172" s="24"/>
      <c r="G2172" s="24"/>
      <c r="I2172" s="13" t="str">
        <f>IFERROR(__xludf.DUMMYFUNCTION("if(isblank(A2172),,split(A2172,""-""))"),"")</f>
        <v/>
      </c>
      <c r="K2172" s="13" t="str">
        <f>IFERROR(__xludf.DUMMYFUNCTION("if(isblank(B2172),,split(B2172,""-""))"),"")</f>
        <v/>
      </c>
    </row>
    <row r="2173">
      <c r="A2173" s="132"/>
      <c r="B2173" s="41"/>
      <c r="C2173" s="9"/>
      <c r="D2173" s="133"/>
      <c r="E2173" s="133"/>
      <c r="F2173" s="24"/>
      <c r="G2173" s="24"/>
      <c r="I2173" s="13" t="str">
        <f>IFERROR(__xludf.DUMMYFUNCTION("if(isblank(A2173),,split(A2173,""-""))"),"")</f>
        <v/>
      </c>
      <c r="K2173" s="13" t="str">
        <f>IFERROR(__xludf.DUMMYFUNCTION("if(isblank(B2173),,split(B2173,""-""))"),"")</f>
        <v/>
      </c>
    </row>
    <row r="2174">
      <c r="A2174" s="132"/>
      <c r="B2174" s="41"/>
      <c r="C2174" s="9"/>
      <c r="D2174" s="133"/>
      <c r="E2174" s="133"/>
      <c r="F2174" s="24"/>
      <c r="G2174" s="24"/>
      <c r="I2174" s="13" t="str">
        <f>IFERROR(__xludf.DUMMYFUNCTION("if(isblank(A2174),,split(A2174,""-""))"),"")</f>
        <v/>
      </c>
      <c r="K2174" s="13" t="str">
        <f>IFERROR(__xludf.DUMMYFUNCTION("if(isblank(B2174),,split(B2174,""-""))"),"")</f>
        <v/>
      </c>
    </row>
    <row r="2175">
      <c r="A2175" s="132"/>
      <c r="B2175" s="41"/>
      <c r="C2175" s="9"/>
      <c r="D2175" s="133"/>
      <c r="E2175" s="133"/>
      <c r="F2175" s="24"/>
      <c r="G2175" s="24"/>
      <c r="I2175" s="13" t="str">
        <f>IFERROR(__xludf.DUMMYFUNCTION("if(isblank(A2175),,split(A2175,""-""))"),"")</f>
        <v/>
      </c>
      <c r="K2175" s="13" t="str">
        <f>IFERROR(__xludf.DUMMYFUNCTION("if(isblank(B2175),,split(B2175,""-""))"),"")</f>
        <v/>
      </c>
    </row>
    <row r="2176">
      <c r="A2176" s="132"/>
      <c r="B2176" s="41"/>
      <c r="C2176" s="9"/>
      <c r="D2176" s="133"/>
      <c r="E2176" s="133"/>
      <c r="F2176" s="24"/>
      <c r="G2176" s="24"/>
      <c r="I2176" s="13" t="str">
        <f>IFERROR(__xludf.DUMMYFUNCTION("if(isblank(A2176),,split(A2176,""-""))"),"")</f>
        <v/>
      </c>
      <c r="K2176" s="13" t="str">
        <f>IFERROR(__xludf.DUMMYFUNCTION("if(isblank(B2176),,split(B2176,""-""))"),"")</f>
        <v/>
      </c>
    </row>
    <row r="2177">
      <c r="A2177" s="132"/>
      <c r="B2177" s="41"/>
      <c r="C2177" s="9"/>
      <c r="D2177" s="133"/>
      <c r="E2177" s="133"/>
      <c r="F2177" s="24"/>
      <c r="G2177" s="24"/>
      <c r="I2177" s="13" t="str">
        <f>IFERROR(__xludf.DUMMYFUNCTION("if(isblank(A2177),,split(A2177,""-""))"),"")</f>
        <v/>
      </c>
      <c r="K2177" s="13" t="str">
        <f>IFERROR(__xludf.DUMMYFUNCTION("if(isblank(B2177),,split(B2177,""-""))"),"")</f>
        <v/>
      </c>
    </row>
    <row r="2178">
      <c r="A2178" s="132"/>
      <c r="B2178" s="41"/>
      <c r="C2178" s="9"/>
      <c r="D2178" s="133"/>
      <c r="E2178" s="133"/>
      <c r="F2178" s="24"/>
      <c r="G2178" s="24"/>
      <c r="I2178" s="13" t="str">
        <f>IFERROR(__xludf.DUMMYFUNCTION("if(isblank(A2178),,split(A2178,""-""))"),"")</f>
        <v/>
      </c>
      <c r="K2178" s="13" t="str">
        <f>IFERROR(__xludf.DUMMYFUNCTION("if(isblank(B2178),,split(B2178,""-""))"),"")</f>
        <v/>
      </c>
    </row>
    <row r="2179">
      <c r="A2179" s="132"/>
      <c r="B2179" s="41"/>
      <c r="C2179" s="9"/>
      <c r="D2179" s="133"/>
      <c r="E2179" s="133"/>
      <c r="F2179" s="24"/>
      <c r="G2179" s="24"/>
      <c r="I2179" s="13" t="str">
        <f>IFERROR(__xludf.DUMMYFUNCTION("if(isblank(A2179),,split(A2179,""-""))"),"")</f>
        <v/>
      </c>
      <c r="K2179" s="13" t="str">
        <f>IFERROR(__xludf.DUMMYFUNCTION("if(isblank(B2179),,split(B2179,""-""))"),"")</f>
        <v/>
      </c>
    </row>
    <row r="2180">
      <c r="A2180" s="132"/>
      <c r="B2180" s="41"/>
      <c r="C2180" s="9"/>
      <c r="D2180" s="133"/>
      <c r="E2180" s="133"/>
      <c r="F2180" s="24"/>
      <c r="G2180" s="24"/>
      <c r="I2180" s="13" t="str">
        <f>IFERROR(__xludf.DUMMYFUNCTION("if(isblank(A2180),,split(A2180,""-""))"),"")</f>
        <v/>
      </c>
      <c r="K2180" s="13" t="str">
        <f>IFERROR(__xludf.DUMMYFUNCTION("if(isblank(B2180),,split(B2180,""-""))"),"")</f>
        <v/>
      </c>
    </row>
    <row r="2181">
      <c r="A2181" s="132"/>
      <c r="B2181" s="41"/>
      <c r="C2181" s="9"/>
      <c r="D2181" s="133"/>
      <c r="E2181" s="133"/>
      <c r="F2181" s="24"/>
      <c r="G2181" s="24"/>
      <c r="I2181" s="13" t="str">
        <f>IFERROR(__xludf.DUMMYFUNCTION("if(isblank(A2181),,split(A2181,""-""))"),"")</f>
        <v/>
      </c>
      <c r="K2181" s="13" t="str">
        <f>IFERROR(__xludf.DUMMYFUNCTION("if(isblank(B2181),,split(B2181,""-""))"),"")</f>
        <v/>
      </c>
    </row>
    <row r="2182">
      <c r="A2182" s="132"/>
      <c r="B2182" s="41"/>
      <c r="C2182" s="9"/>
      <c r="D2182" s="133"/>
      <c r="E2182" s="133"/>
      <c r="F2182" s="24"/>
      <c r="G2182" s="24"/>
      <c r="I2182" s="13" t="str">
        <f>IFERROR(__xludf.DUMMYFUNCTION("if(isblank(A2182),,split(A2182,""-""))"),"")</f>
        <v/>
      </c>
      <c r="K2182" s="13" t="str">
        <f>IFERROR(__xludf.DUMMYFUNCTION("if(isblank(B2182),,split(B2182,""-""))"),"")</f>
        <v/>
      </c>
    </row>
    <row r="2183">
      <c r="A2183" s="132"/>
      <c r="B2183" s="41"/>
      <c r="C2183" s="9"/>
      <c r="D2183" s="133"/>
      <c r="E2183" s="133"/>
      <c r="F2183" s="24"/>
      <c r="G2183" s="24"/>
      <c r="I2183" s="13" t="str">
        <f>IFERROR(__xludf.DUMMYFUNCTION("if(isblank(A2183),,split(A2183,""-""))"),"")</f>
        <v/>
      </c>
      <c r="K2183" s="13" t="str">
        <f>IFERROR(__xludf.DUMMYFUNCTION("if(isblank(B2183),,split(B2183,""-""))"),"")</f>
        <v/>
      </c>
    </row>
    <row r="2184">
      <c r="A2184" s="132"/>
      <c r="B2184" s="41"/>
      <c r="C2184" s="9"/>
      <c r="D2184" s="133"/>
      <c r="E2184" s="133"/>
      <c r="F2184" s="24"/>
      <c r="G2184" s="24"/>
      <c r="I2184" s="13" t="str">
        <f>IFERROR(__xludf.DUMMYFUNCTION("if(isblank(A2184),,split(A2184,""-""))"),"")</f>
        <v/>
      </c>
      <c r="K2184" s="13" t="str">
        <f>IFERROR(__xludf.DUMMYFUNCTION("if(isblank(B2184),,split(B2184,""-""))"),"")</f>
        <v/>
      </c>
    </row>
    <row r="2185">
      <c r="A2185" s="132"/>
      <c r="B2185" s="41"/>
      <c r="C2185" s="9"/>
      <c r="D2185" s="133"/>
      <c r="E2185" s="133"/>
      <c r="F2185" s="24"/>
      <c r="G2185" s="24"/>
      <c r="I2185" s="13" t="str">
        <f>IFERROR(__xludf.DUMMYFUNCTION("if(isblank(A2185),,split(A2185,""-""))"),"")</f>
        <v/>
      </c>
      <c r="K2185" s="13" t="str">
        <f>IFERROR(__xludf.DUMMYFUNCTION("if(isblank(B2185),,split(B2185,""-""))"),"")</f>
        <v/>
      </c>
    </row>
    <row r="2186">
      <c r="A2186" s="132"/>
      <c r="B2186" s="41"/>
      <c r="C2186" s="9"/>
      <c r="D2186" s="133"/>
      <c r="E2186" s="133"/>
      <c r="F2186" s="24"/>
      <c r="G2186" s="24"/>
      <c r="I2186" s="13" t="str">
        <f>IFERROR(__xludf.DUMMYFUNCTION("if(isblank(A2186),,split(A2186,""-""))"),"")</f>
        <v/>
      </c>
      <c r="K2186" s="13" t="str">
        <f>IFERROR(__xludf.DUMMYFUNCTION("if(isblank(B2186),,split(B2186,""-""))"),"")</f>
        <v/>
      </c>
    </row>
    <row r="2187">
      <c r="A2187" s="132"/>
      <c r="B2187" s="41"/>
      <c r="C2187" s="9"/>
      <c r="D2187" s="133"/>
      <c r="E2187" s="133"/>
      <c r="F2187" s="24"/>
      <c r="G2187" s="24"/>
      <c r="I2187" s="13" t="str">
        <f>IFERROR(__xludf.DUMMYFUNCTION("if(isblank(A2187),,split(A2187,""-""))"),"")</f>
        <v/>
      </c>
      <c r="K2187" s="13" t="str">
        <f>IFERROR(__xludf.DUMMYFUNCTION("if(isblank(B2187),,split(B2187,""-""))"),"")</f>
        <v/>
      </c>
    </row>
    <row r="2188">
      <c r="A2188" s="132"/>
      <c r="B2188" s="41"/>
      <c r="C2188" s="9"/>
      <c r="D2188" s="133"/>
      <c r="E2188" s="133"/>
      <c r="F2188" s="24"/>
      <c r="G2188" s="24"/>
      <c r="I2188" s="13" t="str">
        <f>IFERROR(__xludf.DUMMYFUNCTION("if(isblank(A2188),,split(A2188,""-""))"),"")</f>
        <v/>
      </c>
      <c r="K2188" s="13" t="str">
        <f>IFERROR(__xludf.DUMMYFUNCTION("if(isblank(B2188),,split(B2188,""-""))"),"")</f>
        <v/>
      </c>
    </row>
    <row r="2189">
      <c r="A2189" s="132"/>
      <c r="B2189" s="41"/>
      <c r="C2189" s="9"/>
      <c r="D2189" s="133"/>
      <c r="E2189" s="133"/>
      <c r="F2189" s="24"/>
      <c r="G2189" s="24"/>
      <c r="I2189" s="13" t="str">
        <f>IFERROR(__xludf.DUMMYFUNCTION("if(isblank(A2189),,split(A2189,""-""))"),"")</f>
        <v/>
      </c>
      <c r="K2189" s="13" t="str">
        <f>IFERROR(__xludf.DUMMYFUNCTION("if(isblank(B2189),,split(B2189,""-""))"),"")</f>
        <v/>
      </c>
    </row>
    <row r="2190">
      <c r="A2190" s="132"/>
      <c r="B2190" s="41"/>
      <c r="C2190" s="9"/>
      <c r="D2190" s="133"/>
      <c r="E2190" s="133"/>
      <c r="F2190" s="24"/>
      <c r="G2190" s="24"/>
      <c r="I2190" s="13" t="str">
        <f>IFERROR(__xludf.DUMMYFUNCTION("if(isblank(A2190),,split(A2190,""-""))"),"")</f>
        <v/>
      </c>
      <c r="K2190" s="13" t="str">
        <f>IFERROR(__xludf.DUMMYFUNCTION("if(isblank(B2190),,split(B2190,""-""))"),"")</f>
        <v/>
      </c>
    </row>
    <row r="2191">
      <c r="A2191" s="132"/>
      <c r="B2191" s="41"/>
      <c r="C2191" s="9"/>
      <c r="D2191" s="133"/>
      <c r="E2191" s="133"/>
      <c r="F2191" s="24"/>
      <c r="G2191" s="24"/>
      <c r="I2191" s="13" t="str">
        <f>IFERROR(__xludf.DUMMYFUNCTION("if(isblank(A2191),,split(A2191,""-""))"),"")</f>
        <v/>
      </c>
      <c r="K2191" s="13" t="str">
        <f>IFERROR(__xludf.DUMMYFUNCTION("if(isblank(B2191),,split(B2191,""-""))"),"")</f>
        <v/>
      </c>
    </row>
    <row r="2192">
      <c r="A2192" s="132"/>
      <c r="B2192" s="41"/>
      <c r="C2192" s="9"/>
      <c r="D2192" s="133"/>
      <c r="E2192" s="133"/>
      <c r="F2192" s="24"/>
      <c r="G2192" s="24"/>
      <c r="I2192" s="13" t="str">
        <f>IFERROR(__xludf.DUMMYFUNCTION("if(isblank(A2192),,split(A2192,""-""))"),"")</f>
        <v/>
      </c>
      <c r="K2192" s="13" t="str">
        <f>IFERROR(__xludf.DUMMYFUNCTION("if(isblank(B2192),,split(B2192,""-""))"),"")</f>
        <v/>
      </c>
    </row>
    <row r="2193">
      <c r="A2193" s="132"/>
      <c r="B2193" s="41"/>
      <c r="C2193" s="9"/>
      <c r="D2193" s="133"/>
      <c r="E2193" s="133"/>
      <c r="F2193" s="24"/>
      <c r="G2193" s="24"/>
      <c r="I2193" s="13" t="str">
        <f>IFERROR(__xludf.DUMMYFUNCTION("if(isblank(A2193),,split(A2193,""-""))"),"")</f>
        <v/>
      </c>
      <c r="K2193" s="13" t="str">
        <f>IFERROR(__xludf.DUMMYFUNCTION("if(isblank(B2193),,split(B2193,""-""))"),"")</f>
        <v/>
      </c>
    </row>
    <row r="2194">
      <c r="A2194" s="132"/>
      <c r="B2194" s="41"/>
      <c r="C2194" s="9"/>
      <c r="D2194" s="133"/>
      <c r="E2194" s="133"/>
      <c r="F2194" s="24"/>
      <c r="G2194" s="24"/>
      <c r="I2194" s="13" t="str">
        <f>IFERROR(__xludf.DUMMYFUNCTION("if(isblank(A2194),,split(A2194,""-""))"),"")</f>
        <v/>
      </c>
      <c r="K2194" s="13" t="str">
        <f>IFERROR(__xludf.DUMMYFUNCTION("if(isblank(B2194),,split(B2194,""-""))"),"")</f>
        <v/>
      </c>
    </row>
    <row r="2195">
      <c r="A2195" s="132"/>
      <c r="B2195" s="41"/>
      <c r="C2195" s="9"/>
      <c r="D2195" s="133"/>
      <c r="E2195" s="133"/>
      <c r="F2195" s="24"/>
      <c r="G2195" s="24"/>
      <c r="I2195" s="13" t="str">
        <f>IFERROR(__xludf.DUMMYFUNCTION("if(isblank(A2195),,split(A2195,""-""))"),"")</f>
        <v/>
      </c>
      <c r="K2195" s="13" t="str">
        <f>IFERROR(__xludf.DUMMYFUNCTION("if(isblank(B2195),,split(B2195,""-""))"),"")</f>
        <v/>
      </c>
    </row>
    <row r="2196">
      <c r="A2196" s="132"/>
      <c r="B2196" s="41"/>
      <c r="C2196" s="9"/>
      <c r="D2196" s="133"/>
      <c r="E2196" s="133"/>
      <c r="F2196" s="24"/>
      <c r="G2196" s="24"/>
      <c r="I2196" s="13" t="str">
        <f>IFERROR(__xludf.DUMMYFUNCTION("if(isblank(A2196),,split(A2196,""-""))"),"")</f>
        <v/>
      </c>
      <c r="K2196" s="13" t="str">
        <f>IFERROR(__xludf.DUMMYFUNCTION("if(isblank(B2196),,split(B2196,""-""))"),"")</f>
        <v/>
      </c>
    </row>
    <row r="2197">
      <c r="A2197" s="132"/>
      <c r="B2197" s="41"/>
      <c r="C2197" s="9"/>
      <c r="D2197" s="133"/>
      <c r="E2197" s="133"/>
      <c r="F2197" s="24"/>
      <c r="G2197" s="24"/>
      <c r="I2197" s="13" t="str">
        <f>IFERROR(__xludf.DUMMYFUNCTION("if(isblank(A2197),,split(A2197,""-""))"),"")</f>
        <v/>
      </c>
      <c r="K2197" s="13" t="str">
        <f>IFERROR(__xludf.DUMMYFUNCTION("if(isblank(B2197),,split(B2197,""-""))"),"")</f>
        <v/>
      </c>
    </row>
    <row r="2198">
      <c r="A2198" s="132"/>
      <c r="B2198" s="41"/>
      <c r="C2198" s="9"/>
      <c r="D2198" s="133"/>
      <c r="E2198" s="133"/>
      <c r="F2198" s="24"/>
      <c r="G2198" s="24"/>
      <c r="I2198" s="13" t="str">
        <f>IFERROR(__xludf.DUMMYFUNCTION("if(isblank(A2198),,split(A2198,""-""))"),"")</f>
        <v/>
      </c>
      <c r="K2198" s="13" t="str">
        <f>IFERROR(__xludf.DUMMYFUNCTION("if(isblank(B2198),,split(B2198,""-""))"),"")</f>
        <v/>
      </c>
    </row>
    <row r="2199">
      <c r="A2199" s="132"/>
      <c r="B2199" s="41"/>
      <c r="C2199" s="9"/>
      <c r="D2199" s="133"/>
      <c r="E2199" s="133"/>
      <c r="F2199" s="24"/>
      <c r="G2199" s="24"/>
      <c r="I2199" s="13" t="str">
        <f>IFERROR(__xludf.DUMMYFUNCTION("if(isblank(A2199),,split(A2199,""-""))"),"")</f>
        <v/>
      </c>
      <c r="K2199" s="13" t="str">
        <f>IFERROR(__xludf.DUMMYFUNCTION("if(isblank(B2199),,split(B2199,""-""))"),"")</f>
        <v/>
      </c>
    </row>
    <row r="2200">
      <c r="A2200" s="132"/>
      <c r="B2200" s="41"/>
      <c r="C2200" s="9"/>
      <c r="D2200" s="133"/>
      <c r="E2200" s="133"/>
      <c r="F2200" s="24"/>
      <c r="G2200" s="24"/>
      <c r="I2200" s="13" t="str">
        <f>IFERROR(__xludf.DUMMYFUNCTION("if(isblank(A2200),,split(A2200,""-""))"),"")</f>
        <v/>
      </c>
      <c r="K2200" s="13" t="str">
        <f>IFERROR(__xludf.DUMMYFUNCTION("if(isblank(B2200),,split(B2200,""-""))"),"")</f>
        <v/>
      </c>
    </row>
    <row r="2201">
      <c r="A2201" s="132"/>
      <c r="B2201" s="41"/>
      <c r="C2201" s="9"/>
      <c r="D2201" s="133"/>
      <c r="E2201" s="133"/>
      <c r="F2201" s="24"/>
      <c r="G2201" s="24"/>
      <c r="I2201" s="13" t="str">
        <f>IFERROR(__xludf.DUMMYFUNCTION("if(isblank(A2201),,split(A2201,""-""))"),"")</f>
        <v/>
      </c>
      <c r="K2201" s="13" t="str">
        <f>IFERROR(__xludf.DUMMYFUNCTION("if(isblank(B2201),,split(B2201,""-""))"),"")</f>
        <v/>
      </c>
    </row>
    <row r="2202">
      <c r="A2202" s="132"/>
      <c r="B2202" s="41"/>
      <c r="C2202" s="9"/>
      <c r="D2202" s="133"/>
      <c r="E2202" s="133"/>
      <c r="F2202" s="24"/>
      <c r="G2202" s="24"/>
      <c r="I2202" s="13" t="str">
        <f>IFERROR(__xludf.DUMMYFUNCTION("if(isblank(A2202),,split(A2202,""-""))"),"")</f>
        <v/>
      </c>
      <c r="K2202" s="13" t="str">
        <f>IFERROR(__xludf.DUMMYFUNCTION("if(isblank(B2202),,split(B2202,""-""))"),"")</f>
        <v/>
      </c>
    </row>
    <row r="2203">
      <c r="A2203" s="132"/>
      <c r="B2203" s="41"/>
      <c r="C2203" s="9"/>
      <c r="D2203" s="133"/>
      <c r="E2203" s="133"/>
      <c r="F2203" s="24"/>
      <c r="G2203" s="24"/>
      <c r="I2203" s="13" t="str">
        <f>IFERROR(__xludf.DUMMYFUNCTION("if(isblank(A2203),,split(A2203,""-""))"),"")</f>
        <v/>
      </c>
      <c r="K2203" s="13" t="str">
        <f>IFERROR(__xludf.DUMMYFUNCTION("if(isblank(B2203),,split(B2203,""-""))"),"")</f>
        <v/>
      </c>
    </row>
    <row r="2204">
      <c r="A2204" s="132"/>
      <c r="B2204" s="41"/>
      <c r="C2204" s="9"/>
      <c r="D2204" s="133"/>
      <c r="E2204" s="133"/>
      <c r="F2204" s="24"/>
      <c r="G2204" s="24"/>
      <c r="I2204" s="13" t="str">
        <f>IFERROR(__xludf.DUMMYFUNCTION("if(isblank(A2204),,split(A2204,""-""))"),"")</f>
        <v/>
      </c>
      <c r="K2204" s="13" t="str">
        <f>IFERROR(__xludf.DUMMYFUNCTION("if(isblank(B2204),,split(B2204,""-""))"),"")</f>
        <v/>
      </c>
    </row>
    <row r="2205">
      <c r="A2205" s="132"/>
      <c r="B2205" s="41"/>
      <c r="C2205" s="9"/>
      <c r="D2205" s="133"/>
      <c r="E2205" s="133"/>
      <c r="F2205" s="24"/>
      <c r="G2205" s="24"/>
      <c r="I2205" s="13" t="str">
        <f>IFERROR(__xludf.DUMMYFUNCTION("if(isblank(A2205),,split(A2205,""-""))"),"")</f>
        <v/>
      </c>
      <c r="K2205" s="13" t="str">
        <f>IFERROR(__xludf.DUMMYFUNCTION("if(isblank(B2205),,split(B2205,""-""))"),"")</f>
        <v/>
      </c>
    </row>
    <row r="2206">
      <c r="A2206" s="132"/>
      <c r="B2206" s="41"/>
      <c r="C2206" s="9"/>
      <c r="D2206" s="133"/>
      <c r="E2206" s="133"/>
      <c r="F2206" s="24"/>
      <c r="G2206" s="24"/>
      <c r="I2206" s="13" t="str">
        <f>IFERROR(__xludf.DUMMYFUNCTION("if(isblank(A2206),,split(A2206,""-""))"),"")</f>
        <v/>
      </c>
      <c r="K2206" s="13" t="str">
        <f>IFERROR(__xludf.DUMMYFUNCTION("if(isblank(B2206),,split(B2206,""-""))"),"")</f>
        <v/>
      </c>
    </row>
    <row r="2207">
      <c r="A2207" s="132"/>
      <c r="B2207" s="41"/>
      <c r="C2207" s="9"/>
      <c r="D2207" s="133"/>
      <c r="E2207" s="133"/>
      <c r="F2207" s="24"/>
      <c r="G2207" s="24"/>
      <c r="I2207" s="13" t="str">
        <f>IFERROR(__xludf.DUMMYFUNCTION("if(isblank(A2207),,split(A2207,""-""))"),"")</f>
        <v/>
      </c>
      <c r="K2207" s="13" t="str">
        <f>IFERROR(__xludf.DUMMYFUNCTION("if(isblank(B2207),,split(B2207,""-""))"),"")</f>
        <v/>
      </c>
    </row>
    <row r="2208">
      <c r="A2208" s="132"/>
      <c r="B2208" s="41"/>
      <c r="C2208" s="9"/>
      <c r="D2208" s="133"/>
      <c r="E2208" s="133"/>
      <c r="F2208" s="24"/>
      <c r="G2208" s="24"/>
      <c r="I2208" s="13" t="str">
        <f>IFERROR(__xludf.DUMMYFUNCTION("if(isblank(A2208),,split(A2208,""-""))"),"")</f>
        <v/>
      </c>
      <c r="K2208" s="13" t="str">
        <f>IFERROR(__xludf.DUMMYFUNCTION("if(isblank(B2208),,split(B2208,""-""))"),"")</f>
        <v/>
      </c>
    </row>
    <row r="2209">
      <c r="A2209" s="132"/>
      <c r="B2209" s="41"/>
      <c r="C2209" s="9"/>
      <c r="D2209" s="133"/>
      <c r="E2209" s="133"/>
      <c r="F2209" s="24"/>
      <c r="G2209" s="24"/>
      <c r="I2209" s="13" t="str">
        <f>IFERROR(__xludf.DUMMYFUNCTION("if(isblank(A2209),,split(A2209,""-""))"),"")</f>
        <v/>
      </c>
      <c r="K2209" s="13" t="str">
        <f>IFERROR(__xludf.DUMMYFUNCTION("if(isblank(B2209),,split(B2209,""-""))"),"")</f>
        <v/>
      </c>
    </row>
    <row r="2210">
      <c r="A2210" s="132"/>
      <c r="B2210" s="41"/>
      <c r="C2210" s="9"/>
      <c r="D2210" s="133"/>
      <c r="E2210" s="133"/>
      <c r="F2210" s="24"/>
      <c r="G2210" s="24"/>
      <c r="I2210" s="13" t="str">
        <f>IFERROR(__xludf.DUMMYFUNCTION("if(isblank(A2210),,split(A2210,""-""))"),"")</f>
        <v/>
      </c>
      <c r="K2210" s="13" t="str">
        <f>IFERROR(__xludf.DUMMYFUNCTION("if(isblank(B2210),,split(B2210,""-""))"),"")</f>
        <v/>
      </c>
    </row>
    <row r="2211">
      <c r="A2211" s="132"/>
      <c r="B2211" s="41"/>
      <c r="C2211" s="9"/>
      <c r="D2211" s="133"/>
      <c r="E2211" s="133"/>
      <c r="F2211" s="24"/>
      <c r="G2211" s="24"/>
      <c r="I2211" s="13" t="str">
        <f>IFERROR(__xludf.DUMMYFUNCTION("if(isblank(A2211),,split(A2211,""-""))"),"")</f>
        <v/>
      </c>
      <c r="K2211" s="13" t="str">
        <f>IFERROR(__xludf.DUMMYFUNCTION("if(isblank(B2211),,split(B2211,""-""))"),"")</f>
        <v/>
      </c>
    </row>
    <row r="2212">
      <c r="A2212" s="132"/>
      <c r="B2212" s="41"/>
      <c r="C2212" s="9"/>
      <c r="D2212" s="133"/>
      <c r="E2212" s="133"/>
      <c r="F2212" s="24"/>
      <c r="G2212" s="24"/>
      <c r="I2212" s="13" t="str">
        <f>IFERROR(__xludf.DUMMYFUNCTION("if(isblank(A2212),,split(A2212,""-""))"),"")</f>
        <v/>
      </c>
      <c r="K2212" s="13" t="str">
        <f>IFERROR(__xludf.DUMMYFUNCTION("if(isblank(B2212),,split(B2212,""-""))"),"")</f>
        <v/>
      </c>
    </row>
    <row r="2213">
      <c r="A2213" s="132"/>
      <c r="B2213" s="41"/>
      <c r="C2213" s="9"/>
      <c r="D2213" s="133"/>
      <c r="E2213" s="133"/>
      <c r="F2213" s="24"/>
      <c r="G2213" s="24"/>
      <c r="I2213" s="13" t="str">
        <f>IFERROR(__xludf.DUMMYFUNCTION("if(isblank(A2213),,split(A2213,""-""))"),"")</f>
        <v/>
      </c>
      <c r="K2213" s="13" t="str">
        <f>IFERROR(__xludf.DUMMYFUNCTION("if(isblank(B2213),,split(B2213,""-""))"),"")</f>
        <v/>
      </c>
    </row>
    <row r="2214">
      <c r="A2214" s="132"/>
      <c r="B2214" s="41"/>
      <c r="C2214" s="9"/>
      <c r="D2214" s="133"/>
      <c r="E2214" s="133"/>
      <c r="F2214" s="24"/>
      <c r="G2214" s="24"/>
      <c r="I2214" s="13" t="str">
        <f>IFERROR(__xludf.DUMMYFUNCTION("if(isblank(A2214),,split(A2214,""-""))"),"")</f>
        <v/>
      </c>
      <c r="K2214" s="13" t="str">
        <f>IFERROR(__xludf.DUMMYFUNCTION("if(isblank(B2214),,split(B2214,""-""))"),"")</f>
        <v/>
      </c>
    </row>
    <row r="2215">
      <c r="A2215" s="132"/>
      <c r="B2215" s="41"/>
      <c r="C2215" s="9"/>
      <c r="D2215" s="133"/>
      <c r="E2215" s="133"/>
      <c r="F2215" s="24"/>
      <c r="G2215" s="24"/>
      <c r="I2215" s="13" t="str">
        <f>IFERROR(__xludf.DUMMYFUNCTION("if(isblank(A2215),,split(A2215,""-""))"),"")</f>
        <v/>
      </c>
      <c r="K2215" s="13" t="str">
        <f>IFERROR(__xludf.DUMMYFUNCTION("if(isblank(B2215),,split(B2215,""-""))"),"")</f>
        <v/>
      </c>
    </row>
    <row r="2216">
      <c r="A2216" s="132"/>
      <c r="B2216" s="41"/>
      <c r="C2216" s="9"/>
      <c r="D2216" s="133"/>
      <c r="E2216" s="133"/>
      <c r="F2216" s="24"/>
      <c r="G2216" s="24"/>
      <c r="I2216" s="13" t="str">
        <f>IFERROR(__xludf.DUMMYFUNCTION("if(isblank(A2216),,split(A2216,""-""))"),"")</f>
        <v/>
      </c>
      <c r="K2216" s="13" t="str">
        <f>IFERROR(__xludf.DUMMYFUNCTION("if(isblank(B2216),,split(B2216,""-""))"),"")</f>
        <v/>
      </c>
    </row>
    <row r="2217">
      <c r="A2217" s="132"/>
      <c r="B2217" s="41"/>
      <c r="C2217" s="9"/>
      <c r="D2217" s="133"/>
      <c r="E2217" s="133"/>
      <c r="F2217" s="24"/>
      <c r="G2217" s="24"/>
      <c r="I2217" s="13" t="str">
        <f>IFERROR(__xludf.DUMMYFUNCTION("if(isblank(A2217),,split(A2217,""-""))"),"")</f>
        <v/>
      </c>
      <c r="K2217" s="13" t="str">
        <f>IFERROR(__xludf.DUMMYFUNCTION("if(isblank(B2217),,split(B2217,""-""))"),"")</f>
        <v/>
      </c>
    </row>
    <row r="2218">
      <c r="A2218" s="132"/>
      <c r="B2218" s="41"/>
      <c r="C2218" s="9"/>
      <c r="D2218" s="133"/>
      <c r="E2218" s="133"/>
      <c r="F2218" s="24"/>
      <c r="G2218" s="24"/>
      <c r="I2218" s="13" t="str">
        <f>IFERROR(__xludf.DUMMYFUNCTION("if(isblank(A2218),,split(A2218,""-""))"),"")</f>
        <v/>
      </c>
      <c r="K2218" s="13" t="str">
        <f>IFERROR(__xludf.DUMMYFUNCTION("if(isblank(B2218),,split(B2218,""-""))"),"")</f>
        <v/>
      </c>
    </row>
    <row r="2219">
      <c r="A2219" s="132"/>
      <c r="B2219" s="41"/>
      <c r="C2219" s="9"/>
      <c r="D2219" s="133"/>
      <c r="E2219" s="133"/>
      <c r="F2219" s="24"/>
      <c r="G2219" s="24"/>
      <c r="I2219" s="13" t="str">
        <f>IFERROR(__xludf.DUMMYFUNCTION("if(isblank(A2219),,split(A2219,""-""))"),"")</f>
        <v/>
      </c>
      <c r="K2219" s="13" t="str">
        <f>IFERROR(__xludf.DUMMYFUNCTION("if(isblank(B2219),,split(B2219,""-""))"),"")</f>
        <v/>
      </c>
    </row>
    <row r="2220">
      <c r="A2220" s="132"/>
      <c r="B2220" s="41"/>
      <c r="C2220" s="9"/>
      <c r="D2220" s="133"/>
      <c r="E2220" s="133"/>
      <c r="F2220" s="24"/>
      <c r="G2220" s="24"/>
      <c r="I2220" s="13" t="str">
        <f>IFERROR(__xludf.DUMMYFUNCTION("if(isblank(A2220),,split(A2220,""-""))"),"")</f>
        <v/>
      </c>
      <c r="K2220" s="13" t="str">
        <f>IFERROR(__xludf.DUMMYFUNCTION("if(isblank(B2220),,split(B2220,""-""))"),"")</f>
        <v/>
      </c>
    </row>
    <row r="2221">
      <c r="A2221" s="132"/>
      <c r="B2221" s="41"/>
      <c r="C2221" s="9"/>
      <c r="D2221" s="133"/>
      <c r="E2221" s="133"/>
      <c r="F2221" s="24"/>
      <c r="G2221" s="24"/>
      <c r="I2221" s="13" t="str">
        <f>IFERROR(__xludf.DUMMYFUNCTION("if(isblank(A2221),,split(A2221,""-""))"),"")</f>
        <v/>
      </c>
      <c r="K2221" s="13" t="str">
        <f>IFERROR(__xludf.DUMMYFUNCTION("if(isblank(B2221),,split(B2221,""-""))"),"")</f>
        <v/>
      </c>
    </row>
    <row r="2222">
      <c r="A2222" s="132"/>
      <c r="B2222" s="41"/>
      <c r="C2222" s="9"/>
      <c r="D2222" s="133"/>
      <c r="E2222" s="133"/>
      <c r="F2222" s="24"/>
      <c r="G2222" s="24"/>
      <c r="I2222" s="13" t="str">
        <f>IFERROR(__xludf.DUMMYFUNCTION("if(isblank(A2222),,split(A2222,""-""))"),"")</f>
        <v/>
      </c>
      <c r="K2222" s="13" t="str">
        <f>IFERROR(__xludf.DUMMYFUNCTION("if(isblank(B2222),,split(B2222,""-""))"),"")</f>
        <v/>
      </c>
    </row>
    <row r="2223">
      <c r="A2223" s="132"/>
      <c r="B2223" s="41"/>
      <c r="C2223" s="9"/>
      <c r="D2223" s="133"/>
      <c r="E2223" s="133"/>
      <c r="F2223" s="24"/>
      <c r="G2223" s="24"/>
      <c r="I2223" s="13" t="str">
        <f>IFERROR(__xludf.DUMMYFUNCTION("if(isblank(A2223),,split(A2223,""-""))"),"")</f>
        <v/>
      </c>
      <c r="K2223" s="13" t="str">
        <f>IFERROR(__xludf.DUMMYFUNCTION("if(isblank(B2223),,split(B2223,""-""))"),"")</f>
        <v/>
      </c>
    </row>
    <row r="2224">
      <c r="A2224" s="132"/>
      <c r="B2224" s="41"/>
      <c r="C2224" s="9"/>
      <c r="D2224" s="133"/>
      <c r="E2224" s="133"/>
      <c r="F2224" s="24"/>
      <c r="G2224" s="24"/>
      <c r="I2224" s="13" t="str">
        <f>IFERROR(__xludf.DUMMYFUNCTION("if(isblank(A2224),,split(A2224,""-""))"),"")</f>
        <v/>
      </c>
      <c r="K2224" s="13" t="str">
        <f>IFERROR(__xludf.DUMMYFUNCTION("if(isblank(B2224),,split(B2224,""-""))"),"")</f>
        <v/>
      </c>
    </row>
    <row r="2225">
      <c r="A2225" s="132"/>
      <c r="B2225" s="41"/>
      <c r="C2225" s="9"/>
      <c r="D2225" s="133"/>
      <c r="E2225" s="133"/>
      <c r="F2225" s="24"/>
      <c r="G2225" s="24"/>
      <c r="I2225" s="13" t="str">
        <f>IFERROR(__xludf.DUMMYFUNCTION("if(isblank(A2225),,split(A2225,""-""))"),"")</f>
        <v/>
      </c>
      <c r="K2225" s="13" t="str">
        <f>IFERROR(__xludf.DUMMYFUNCTION("if(isblank(B2225),,split(B2225,""-""))"),"")</f>
        <v/>
      </c>
    </row>
    <row r="2226">
      <c r="A2226" s="132"/>
      <c r="B2226" s="41"/>
      <c r="C2226" s="9"/>
      <c r="D2226" s="133"/>
      <c r="E2226" s="133"/>
      <c r="F2226" s="24"/>
      <c r="G2226" s="24"/>
      <c r="I2226" s="13" t="str">
        <f>IFERROR(__xludf.DUMMYFUNCTION("if(isblank(A2226),,split(A2226,""-""))"),"")</f>
        <v/>
      </c>
      <c r="K2226" s="13" t="str">
        <f>IFERROR(__xludf.DUMMYFUNCTION("if(isblank(B2226),,split(B2226,""-""))"),"")</f>
        <v/>
      </c>
    </row>
    <row r="2227">
      <c r="A2227" s="132"/>
      <c r="B2227" s="41"/>
      <c r="C2227" s="9"/>
      <c r="D2227" s="133"/>
      <c r="E2227" s="133"/>
      <c r="F2227" s="24"/>
      <c r="G2227" s="24"/>
      <c r="I2227" s="13" t="str">
        <f>IFERROR(__xludf.DUMMYFUNCTION("if(isblank(A2227),,split(A2227,""-""))"),"")</f>
        <v/>
      </c>
      <c r="K2227" s="13" t="str">
        <f>IFERROR(__xludf.DUMMYFUNCTION("if(isblank(B2227),,split(B2227,""-""))"),"")</f>
        <v/>
      </c>
    </row>
    <row r="2228">
      <c r="A2228" s="132"/>
      <c r="B2228" s="41"/>
      <c r="C2228" s="9"/>
      <c r="D2228" s="133"/>
      <c r="E2228" s="133"/>
      <c r="F2228" s="24"/>
      <c r="G2228" s="24"/>
      <c r="I2228" s="13" t="str">
        <f>IFERROR(__xludf.DUMMYFUNCTION("if(isblank(A2228),,split(A2228,""-""))"),"")</f>
        <v/>
      </c>
      <c r="K2228" s="13" t="str">
        <f>IFERROR(__xludf.DUMMYFUNCTION("if(isblank(B2228),,split(B2228,""-""))"),"")</f>
        <v/>
      </c>
    </row>
    <row r="2229">
      <c r="A2229" s="132"/>
      <c r="B2229" s="41"/>
      <c r="C2229" s="9"/>
      <c r="D2229" s="133"/>
      <c r="E2229" s="133"/>
      <c r="F2229" s="24"/>
      <c r="G2229" s="24"/>
      <c r="I2229" s="13" t="str">
        <f>IFERROR(__xludf.DUMMYFUNCTION("if(isblank(A2229),,split(A2229,""-""))"),"")</f>
        <v/>
      </c>
      <c r="K2229" s="13" t="str">
        <f>IFERROR(__xludf.DUMMYFUNCTION("if(isblank(B2229),,split(B2229,""-""))"),"")</f>
        <v/>
      </c>
    </row>
    <row r="2230">
      <c r="A2230" s="132"/>
      <c r="B2230" s="41"/>
      <c r="C2230" s="9"/>
      <c r="D2230" s="133"/>
      <c r="E2230" s="133"/>
      <c r="F2230" s="24"/>
      <c r="G2230" s="24"/>
      <c r="I2230" s="13" t="str">
        <f>IFERROR(__xludf.DUMMYFUNCTION("if(isblank(A2230),,split(A2230,""-""))"),"")</f>
        <v/>
      </c>
      <c r="K2230" s="13" t="str">
        <f>IFERROR(__xludf.DUMMYFUNCTION("if(isblank(B2230),,split(B2230,""-""))"),"")</f>
        <v/>
      </c>
    </row>
    <row r="2231">
      <c r="A2231" s="132"/>
      <c r="B2231" s="41"/>
      <c r="C2231" s="9"/>
      <c r="D2231" s="133"/>
      <c r="E2231" s="133"/>
      <c r="F2231" s="24"/>
      <c r="G2231" s="24"/>
      <c r="I2231" s="13" t="str">
        <f>IFERROR(__xludf.DUMMYFUNCTION("if(isblank(A2231),,split(A2231,""-""))"),"")</f>
        <v/>
      </c>
      <c r="K2231" s="13" t="str">
        <f>IFERROR(__xludf.DUMMYFUNCTION("if(isblank(B2231),,split(B2231,""-""))"),"")</f>
        <v/>
      </c>
    </row>
    <row r="2232">
      <c r="A2232" s="132"/>
      <c r="B2232" s="41"/>
      <c r="C2232" s="9"/>
      <c r="D2232" s="133"/>
      <c r="E2232" s="133"/>
      <c r="F2232" s="24"/>
      <c r="G2232" s="24"/>
      <c r="I2232" s="13" t="str">
        <f>IFERROR(__xludf.DUMMYFUNCTION("if(isblank(A2232),,split(A2232,""-""))"),"")</f>
        <v/>
      </c>
      <c r="K2232" s="13" t="str">
        <f>IFERROR(__xludf.DUMMYFUNCTION("if(isblank(B2232),,split(B2232,""-""))"),"")</f>
        <v/>
      </c>
    </row>
    <row r="2233">
      <c r="A2233" s="132"/>
      <c r="B2233" s="41"/>
      <c r="C2233" s="9"/>
      <c r="D2233" s="133"/>
      <c r="E2233" s="133"/>
      <c r="F2233" s="24"/>
      <c r="G2233" s="24"/>
      <c r="I2233" s="13" t="str">
        <f>IFERROR(__xludf.DUMMYFUNCTION("if(isblank(A2233),,split(A2233,""-""))"),"")</f>
        <v/>
      </c>
      <c r="K2233" s="13" t="str">
        <f>IFERROR(__xludf.DUMMYFUNCTION("if(isblank(B2233),,split(B2233,""-""))"),"")</f>
        <v/>
      </c>
    </row>
    <row r="2234">
      <c r="A2234" s="132"/>
      <c r="B2234" s="41"/>
      <c r="C2234" s="9"/>
      <c r="D2234" s="133"/>
      <c r="E2234" s="133"/>
      <c r="F2234" s="24"/>
      <c r="G2234" s="24"/>
      <c r="I2234" s="13" t="str">
        <f>IFERROR(__xludf.DUMMYFUNCTION("if(isblank(A2234),,split(A2234,""-""))"),"")</f>
        <v/>
      </c>
      <c r="K2234" s="13" t="str">
        <f>IFERROR(__xludf.DUMMYFUNCTION("if(isblank(B2234),,split(B2234,""-""))"),"")</f>
        <v/>
      </c>
    </row>
    <row r="2235">
      <c r="A2235" s="132"/>
      <c r="B2235" s="41"/>
      <c r="C2235" s="9"/>
      <c r="D2235" s="133"/>
      <c r="E2235" s="133"/>
      <c r="F2235" s="24"/>
      <c r="G2235" s="24"/>
      <c r="I2235" s="13" t="str">
        <f>IFERROR(__xludf.DUMMYFUNCTION("if(isblank(A2235),,split(A2235,""-""))"),"")</f>
        <v/>
      </c>
      <c r="K2235" s="13" t="str">
        <f>IFERROR(__xludf.DUMMYFUNCTION("if(isblank(B2235),,split(B2235,""-""))"),"")</f>
        <v/>
      </c>
    </row>
    <row r="2236">
      <c r="A2236" s="132"/>
      <c r="B2236" s="41"/>
      <c r="C2236" s="9"/>
      <c r="D2236" s="133"/>
      <c r="E2236" s="133"/>
      <c r="F2236" s="24"/>
      <c r="G2236" s="24"/>
      <c r="I2236" s="13" t="str">
        <f>IFERROR(__xludf.DUMMYFUNCTION("if(isblank(A2236),,split(A2236,""-""))"),"")</f>
        <v/>
      </c>
      <c r="K2236" s="13" t="str">
        <f>IFERROR(__xludf.DUMMYFUNCTION("if(isblank(B2236),,split(B2236,""-""))"),"")</f>
        <v/>
      </c>
    </row>
    <row r="2237">
      <c r="A2237" s="132"/>
      <c r="B2237" s="41"/>
      <c r="C2237" s="9"/>
      <c r="D2237" s="133"/>
      <c r="E2237" s="133"/>
      <c r="F2237" s="24"/>
      <c r="G2237" s="24"/>
      <c r="I2237" s="13" t="str">
        <f>IFERROR(__xludf.DUMMYFUNCTION("if(isblank(A2237),,split(A2237,""-""))"),"")</f>
        <v/>
      </c>
      <c r="K2237" s="13" t="str">
        <f>IFERROR(__xludf.DUMMYFUNCTION("if(isblank(B2237),,split(B2237,""-""))"),"")</f>
        <v/>
      </c>
    </row>
    <row r="2238">
      <c r="A2238" s="132"/>
      <c r="B2238" s="41"/>
      <c r="C2238" s="9"/>
      <c r="D2238" s="133"/>
      <c r="E2238" s="133"/>
      <c r="F2238" s="24"/>
      <c r="G2238" s="24"/>
      <c r="I2238" s="13" t="str">
        <f>IFERROR(__xludf.DUMMYFUNCTION("if(isblank(A2238),,split(A2238,""-""))"),"")</f>
        <v/>
      </c>
      <c r="K2238" s="13" t="str">
        <f>IFERROR(__xludf.DUMMYFUNCTION("if(isblank(B2238),,split(B2238,""-""))"),"")</f>
        <v/>
      </c>
    </row>
    <row r="2239">
      <c r="A2239" s="132"/>
      <c r="B2239" s="41"/>
      <c r="C2239" s="9"/>
      <c r="D2239" s="133"/>
      <c r="E2239" s="133"/>
      <c r="F2239" s="24"/>
      <c r="G2239" s="24"/>
      <c r="I2239" s="13" t="str">
        <f>IFERROR(__xludf.DUMMYFUNCTION("if(isblank(A2239),,split(A2239,""-""))"),"")</f>
        <v/>
      </c>
      <c r="K2239" s="13" t="str">
        <f>IFERROR(__xludf.DUMMYFUNCTION("if(isblank(B2239),,split(B2239,""-""))"),"")</f>
        <v/>
      </c>
    </row>
    <row r="2240">
      <c r="A2240" s="132"/>
      <c r="B2240" s="41"/>
      <c r="C2240" s="9"/>
      <c r="D2240" s="133"/>
      <c r="E2240" s="133"/>
      <c r="F2240" s="24"/>
      <c r="G2240" s="24"/>
      <c r="I2240" s="13" t="str">
        <f>IFERROR(__xludf.DUMMYFUNCTION("if(isblank(A2240),,split(A2240,""-""))"),"")</f>
        <v/>
      </c>
      <c r="K2240" s="13" t="str">
        <f>IFERROR(__xludf.DUMMYFUNCTION("if(isblank(B2240),,split(B2240,""-""))"),"")</f>
        <v/>
      </c>
    </row>
    <row r="2241">
      <c r="A2241" s="132"/>
      <c r="B2241" s="41"/>
      <c r="C2241" s="9"/>
      <c r="D2241" s="133"/>
      <c r="E2241" s="133"/>
      <c r="F2241" s="24"/>
      <c r="G2241" s="24"/>
      <c r="I2241" s="13" t="str">
        <f>IFERROR(__xludf.DUMMYFUNCTION("if(isblank(A2241),,split(A2241,""-""))"),"")</f>
        <v/>
      </c>
      <c r="K2241" s="13" t="str">
        <f>IFERROR(__xludf.DUMMYFUNCTION("if(isblank(B2241),,split(B2241,""-""))"),"")</f>
        <v/>
      </c>
    </row>
    <row r="2242">
      <c r="A2242" s="132"/>
      <c r="B2242" s="41"/>
      <c r="C2242" s="9"/>
      <c r="D2242" s="133"/>
      <c r="E2242" s="133"/>
      <c r="F2242" s="24"/>
      <c r="G2242" s="24"/>
      <c r="I2242" s="13" t="str">
        <f>IFERROR(__xludf.DUMMYFUNCTION("if(isblank(A2242),,split(A2242,""-""))"),"")</f>
        <v/>
      </c>
      <c r="K2242" s="13" t="str">
        <f>IFERROR(__xludf.DUMMYFUNCTION("if(isblank(B2242),,split(B2242,""-""))"),"")</f>
        <v/>
      </c>
    </row>
    <row r="2243">
      <c r="A2243" s="132"/>
      <c r="B2243" s="41"/>
      <c r="C2243" s="9"/>
      <c r="D2243" s="133"/>
      <c r="E2243" s="133"/>
      <c r="F2243" s="24"/>
      <c r="G2243" s="24"/>
      <c r="I2243" s="13" t="str">
        <f>IFERROR(__xludf.DUMMYFUNCTION("if(isblank(A2243),,split(A2243,""-""))"),"")</f>
        <v/>
      </c>
      <c r="K2243" s="13" t="str">
        <f>IFERROR(__xludf.DUMMYFUNCTION("if(isblank(B2243),,split(B2243,""-""))"),"")</f>
        <v/>
      </c>
    </row>
    <row r="2244">
      <c r="A2244" s="132"/>
      <c r="B2244" s="41"/>
      <c r="C2244" s="9"/>
      <c r="D2244" s="133"/>
      <c r="E2244" s="133"/>
      <c r="F2244" s="24"/>
      <c r="G2244" s="24"/>
      <c r="I2244" s="13" t="str">
        <f>IFERROR(__xludf.DUMMYFUNCTION("if(isblank(A2244),,split(A2244,""-""))"),"")</f>
        <v/>
      </c>
      <c r="K2244" s="13" t="str">
        <f>IFERROR(__xludf.DUMMYFUNCTION("if(isblank(B2244),,split(B2244,""-""))"),"")</f>
        <v/>
      </c>
    </row>
    <row r="2245">
      <c r="A2245" s="132"/>
      <c r="B2245" s="41"/>
      <c r="C2245" s="9"/>
      <c r="D2245" s="133"/>
      <c r="E2245" s="133"/>
      <c r="F2245" s="24"/>
      <c r="G2245" s="24"/>
      <c r="I2245" s="13" t="str">
        <f>IFERROR(__xludf.DUMMYFUNCTION("if(isblank(A2245),,split(A2245,""-""))"),"")</f>
        <v/>
      </c>
      <c r="K2245" s="13" t="str">
        <f>IFERROR(__xludf.DUMMYFUNCTION("if(isblank(B2245),,split(B2245,""-""))"),"")</f>
        <v/>
      </c>
    </row>
    <row r="2246">
      <c r="A2246" s="132"/>
      <c r="B2246" s="41"/>
      <c r="C2246" s="9"/>
      <c r="D2246" s="133"/>
      <c r="E2246" s="133"/>
      <c r="F2246" s="24"/>
      <c r="G2246" s="24"/>
      <c r="I2246" s="13" t="str">
        <f>IFERROR(__xludf.DUMMYFUNCTION("if(isblank(A2246),,split(A2246,""-""))"),"")</f>
        <v/>
      </c>
      <c r="K2246" s="13" t="str">
        <f>IFERROR(__xludf.DUMMYFUNCTION("if(isblank(B2246),,split(B2246,""-""))"),"")</f>
        <v/>
      </c>
    </row>
    <row r="2247">
      <c r="A2247" s="132"/>
      <c r="B2247" s="41"/>
      <c r="C2247" s="9"/>
      <c r="D2247" s="133"/>
      <c r="E2247" s="133"/>
      <c r="F2247" s="24"/>
      <c r="G2247" s="24"/>
      <c r="I2247" s="13" t="str">
        <f>IFERROR(__xludf.DUMMYFUNCTION("if(isblank(A2247),,split(A2247,""-""))"),"")</f>
        <v/>
      </c>
      <c r="K2247" s="13" t="str">
        <f>IFERROR(__xludf.DUMMYFUNCTION("if(isblank(B2247),,split(B2247,""-""))"),"")</f>
        <v/>
      </c>
    </row>
    <row r="2248">
      <c r="A2248" s="132"/>
      <c r="B2248" s="41"/>
      <c r="C2248" s="9"/>
      <c r="D2248" s="133"/>
      <c r="E2248" s="133"/>
      <c r="F2248" s="24"/>
      <c r="G2248" s="24"/>
      <c r="I2248" s="13" t="str">
        <f>IFERROR(__xludf.DUMMYFUNCTION("if(isblank(A2248),,split(A2248,""-""))"),"")</f>
        <v/>
      </c>
      <c r="K2248" s="13" t="str">
        <f>IFERROR(__xludf.DUMMYFUNCTION("if(isblank(B2248),,split(B2248,""-""))"),"")</f>
        <v/>
      </c>
    </row>
    <row r="2249">
      <c r="A2249" s="132"/>
      <c r="B2249" s="41"/>
      <c r="C2249" s="9"/>
      <c r="D2249" s="133"/>
      <c r="E2249" s="133"/>
      <c r="F2249" s="24"/>
      <c r="G2249" s="24"/>
      <c r="I2249" s="13" t="str">
        <f>IFERROR(__xludf.DUMMYFUNCTION("if(isblank(A2249),,split(A2249,""-""))"),"")</f>
        <v/>
      </c>
      <c r="K2249" s="13" t="str">
        <f>IFERROR(__xludf.DUMMYFUNCTION("if(isblank(B2249),,split(B2249,""-""))"),"")</f>
        <v/>
      </c>
    </row>
    <row r="2250">
      <c r="A2250" s="132"/>
      <c r="B2250" s="41"/>
      <c r="C2250" s="9"/>
      <c r="D2250" s="133"/>
      <c r="E2250" s="133"/>
      <c r="F2250" s="24"/>
      <c r="G2250" s="24"/>
      <c r="I2250" s="13" t="str">
        <f>IFERROR(__xludf.DUMMYFUNCTION("if(isblank(A2250),,split(A2250,""-""))"),"")</f>
        <v/>
      </c>
      <c r="K2250" s="13" t="str">
        <f>IFERROR(__xludf.DUMMYFUNCTION("if(isblank(B2250),,split(B2250,""-""))"),"")</f>
        <v/>
      </c>
    </row>
    <row r="2251">
      <c r="A2251" s="132"/>
      <c r="B2251" s="41"/>
      <c r="C2251" s="9"/>
      <c r="D2251" s="133"/>
      <c r="E2251" s="133"/>
      <c r="F2251" s="24"/>
      <c r="G2251" s="24"/>
      <c r="I2251" s="13" t="str">
        <f>IFERROR(__xludf.DUMMYFUNCTION("if(isblank(A2251),,split(A2251,""-""))"),"")</f>
        <v/>
      </c>
      <c r="K2251" s="13" t="str">
        <f>IFERROR(__xludf.DUMMYFUNCTION("if(isblank(B2251),,split(B2251,""-""))"),"")</f>
        <v/>
      </c>
    </row>
    <row r="2252">
      <c r="A2252" s="132"/>
      <c r="B2252" s="41"/>
      <c r="C2252" s="9"/>
      <c r="D2252" s="133"/>
      <c r="E2252" s="133"/>
      <c r="F2252" s="24"/>
      <c r="G2252" s="24"/>
      <c r="I2252" s="13" t="str">
        <f>IFERROR(__xludf.DUMMYFUNCTION("if(isblank(A2252),,split(A2252,""-""))"),"")</f>
        <v/>
      </c>
      <c r="K2252" s="13" t="str">
        <f>IFERROR(__xludf.DUMMYFUNCTION("if(isblank(B2252),,split(B2252,""-""))"),"")</f>
        <v/>
      </c>
    </row>
    <row r="2253">
      <c r="A2253" s="132"/>
      <c r="B2253" s="41"/>
      <c r="C2253" s="9"/>
      <c r="D2253" s="133"/>
      <c r="E2253" s="133"/>
      <c r="F2253" s="24"/>
      <c r="G2253" s="24"/>
      <c r="I2253" s="13" t="str">
        <f>IFERROR(__xludf.DUMMYFUNCTION("if(isblank(A2253),,split(A2253,""-""))"),"")</f>
        <v/>
      </c>
      <c r="K2253" s="13" t="str">
        <f>IFERROR(__xludf.DUMMYFUNCTION("if(isblank(B2253),,split(B2253,""-""))"),"")</f>
        <v/>
      </c>
    </row>
    <row r="2254">
      <c r="A2254" s="132"/>
      <c r="B2254" s="41"/>
      <c r="C2254" s="9"/>
      <c r="D2254" s="133"/>
      <c r="E2254" s="133"/>
      <c r="F2254" s="24"/>
      <c r="G2254" s="24"/>
      <c r="I2254" s="13" t="str">
        <f>IFERROR(__xludf.DUMMYFUNCTION("if(isblank(A2254),,split(A2254,""-""))"),"")</f>
        <v/>
      </c>
      <c r="K2254" s="13" t="str">
        <f>IFERROR(__xludf.DUMMYFUNCTION("if(isblank(B2254),,split(B2254,""-""))"),"")</f>
        <v/>
      </c>
    </row>
    <row r="2255">
      <c r="A2255" s="132"/>
      <c r="B2255" s="41"/>
      <c r="C2255" s="9"/>
      <c r="D2255" s="133"/>
      <c r="E2255" s="133"/>
      <c r="F2255" s="24"/>
      <c r="G2255" s="24"/>
      <c r="I2255" s="13" t="str">
        <f>IFERROR(__xludf.DUMMYFUNCTION("if(isblank(A2255),,split(A2255,""-""))"),"")</f>
        <v/>
      </c>
      <c r="K2255" s="13" t="str">
        <f>IFERROR(__xludf.DUMMYFUNCTION("if(isblank(B2255),,split(B2255,""-""))"),"")</f>
        <v/>
      </c>
    </row>
    <row r="2256">
      <c r="A2256" s="132"/>
      <c r="B2256" s="41"/>
      <c r="C2256" s="9"/>
      <c r="D2256" s="133"/>
      <c r="E2256" s="133"/>
      <c r="F2256" s="24"/>
      <c r="G2256" s="24"/>
      <c r="I2256" s="13" t="str">
        <f>IFERROR(__xludf.DUMMYFUNCTION("if(isblank(A2256),,split(A2256,""-""))"),"")</f>
        <v/>
      </c>
      <c r="K2256" s="13" t="str">
        <f>IFERROR(__xludf.DUMMYFUNCTION("if(isblank(B2256),,split(B2256,""-""))"),"")</f>
        <v/>
      </c>
    </row>
    <row r="2257">
      <c r="A2257" s="132"/>
      <c r="B2257" s="41"/>
      <c r="C2257" s="9"/>
      <c r="D2257" s="133"/>
      <c r="E2257" s="133"/>
      <c r="F2257" s="24"/>
      <c r="G2257" s="24"/>
      <c r="I2257" s="13" t="str">
        <f>IFERROR(__xludf.DUMMYFUNCTION("if(isblank(A2257),,split(A2257,""-""))"),"")</f>
        <v/>
      </c>
      <c r="K2257" s="13" t="str">
        <f>IFERROR(__xludf.DUMMYFUNCTION("if(isblank(B2257),,split(B2257,""-""))"),"")</f>
        <v/>
      </c>
    </row>
    <row r="2258">
      <c r="A2258" s="132"/>
      <c r="B2258" s="41"/>
      <c r="C2258" s="9"/>
      <c r="D2258" s="133"/>
      <c r="E2258" s="133"/>
      <c r="F2258" s="24"/>
      <c r="G2258" s="24"/>
      <c r="I2258" s="13" t="str">
        <f>IFERROR(__xludf.DUMMYFUNCTION("if(isblank(A2258),,split(A2258,""-""))"),"")</f>
        <v/>
      </c>
      <c r="K2258" s="13" t="str">
        <f>IFERROR(__xludf.DUMMYFUNCTION("if(isblank(B2258),,split(B2258,""-""))"),"")</f>
        <v/>
      </c>
    </row>
    <row r="2259">
      <c r="A2259" s="132"/>
      <c r="B2259" s="41"/>
      <c r="C2259" s="9"/>
      <c r="D2259" s="133"/>
      <c r="E2259" s="133"/>
      <c r="F2259" s="24"/>
      <c r="G2259" s="24"/>
      <c r="I2259" s="13" t="str">
        <f>IFERROR(__xludf.DUMMYFUNCTION("if(isblank(A2259),,split(A2259,""-""))"),"")</f>
        <v/>
      </c>
      <c r="K2259" s="13" t="str">
        <f>IFERROR(__xludf.DUMMYFUNCTION("if(isblank(B2259),,split(B2259,""-""))"),"")</f>
        <v/>
      </c>
    </row>
    <row r="2260">
      <c r="A2260" s="132"/>
      <c r="B2260" s="41"/>
      <c r="C2260" s="9"/>
      <c r="D2260" s="133"/>
      <c r="E2260" s="133"/>
      <c r="F2260" s="24"/>
      <c r="G2260" s="24"/>
      <c r="I2260" s="13" t="str">
        <f>IFERROR(__xludf.DUMMYFUNCTION("if(isblank(A2260),,split(A2260,""-""))"),"")</f>
        <v/>
      </c>
      <c r="K2260" s="13" t="str">
        <f>IFERROR(__xludf.DUMMYFUNCTION("if(isblank(B2260),,split(B2260,""-""))"),"")</f>
        <v/>
      </c>
    </row>
    <row r="2261">
      <c r="A2261" s="132"/>
      <c r="B2261" s="41"/>
      <c r="C2261" s="9"/>
      <c r="D2261" s="133"/>
      <c r="E2261" s="133"/>
      <c r="F2261" s="24"/>
      <c r="G2261" s="24"/>
      <c r="I2261" s="13" t="str">
        <f>IFERROR(__xludf.DUMMYFUNCTION("if(isblank(A2261),,split(A2261,""-""))"),"")</f>
        <v/>
      </c>
      <c r="K2261" s="13" t="str">
        <f>IFERROR(__xludf.DUMMYFUNCTION("if(isblank(B2261),,split(B2261,""-""))"),"")</f>
        <v/>
      </c>
    </row>
    <row r="2262">
      <c r="A2262" s="132"/>
      <c r="B2262" s="41"/>
      <c r="C2262" s="9"/>
      <c r="D2262" s="133"/>
      <c r="E2262" s="133"/>
      <c r="F2262" s="24"/>
      <c r="G2262" s="24"/>
      <c r="I2262" s="13" t="str">
        <f>IFERROR(__xludf.DUMMYFUNCTION("if(isblank(A2262),,split(A2262,""-""))"),"")</f>
        <v/>
      </c>
      <c r="K2262" s="13" t="str">
        <f>IFERROR(__xludf.DUMMYFUNCTION("if(isblank(B2262),,split(B2262,""-""))"),"")</f>
        <v/>
      </c>
    </row>
    <row r="2263">
      <c r="A2263" s="132"/>
      <c r="B2263" s="41"/>
      <c r="C2263" s="9"/>
      <c r="D2263" s="133"/>
      <c r="E2263" s="133"/>
      <c r="F2263" s="24"/>
      <c r="G2263" s="24"/>
      <c r="I2263" s="13" t="str">
        <f>IFERROR(__xludf.DUMMYFUNCTION("if(isblank(A2263),,split(A2263,""-""))"),"")</f>
        <v/>
      </c>
      <c r="K2263" s="13" t="str">
        <f>IFERROR(__xludf.DUMMYFUNCTION("if(isblank(B2263),,split(B2263,""-""))"),"")</f>
        <v/>
      </c>
    </row>
    <row r="2264">
      <c r="A2264" s="132"/>
      <c r="B2264" s="41"/>
      <c r="C2264" s="9"/>
      <c r="D2264" s="133"/>
      <c r="E2264" s="133"/>
      <c r="F2264" s="24"/>
      <c r="G2264" s="24"/>
      <c r="I2264" s="13" t="str">
        <f>IFERROR(__xludf.DUMMYFUNCTION("if(isblank(A2264),,split(A2264,""-""))"),"")</f>
        <v/>
      </c>
      <c r="K2264" s="13" t="str">
        <f>IFERROR(__xludf.DUMMYFUNCTION("if(isblank(B2264),,split(B2264,""-""))"),"")</f>
        <v/>
      </c>
    </row>
    <row r="2265">
      <c r="A2265" s="132"/>
      <c r="B2265" s="41"/>
      <c r="C2265" s="9"/>
      <c r="D2265" s="133"/>
      <c r="E2265" s="133"/>
      <c r="F2265" s="24"/>
      <c r="G2265" s="24"/>
      <c r="I2265" s="13" t="str">
        <f>IFERROR(__xludf.DUMMYFUNCTION("if(isblank(A2265),,split(A2265,""-""))"),"")</f>
        <v/>
      </c>
      <c r="K2265" s="13" t="str">
        <f>IFERROR(__xludf.DUMMYFUNCTION("if(isblank(B2265),,split(B2265,""-""))"),"")</f>
        <v/>
      </c>
    </row>
    <row r="2266">
      <c r="A2266" s="132"/>
      <c r="B2266" s="41"/>
      <c r="C2266" s="9"/>
      <c r="D2266" s="133"/>
      <c r="E2266" s="133"/>
      <c r="F2266" s="24"/>
      <c r="G2266" s="24"/>
      <c r="I2266" s="13" t="str">
        <f>IFERROR(__xludf.DUMMYFUNCTION("if(isblank(A2266),,split(A2266,""-""))"),"")</f>
        <v/>
      </c>
      <c r="K2266" s="13" t="str">
        <f>IFERROR(__xludf.DUMMYFUNCTION("if(isblank(B2266),,split(B2266,""-""))"),"")</f>
        <v/>
      </c>
    </row>
    <row r="2267">
      <c r="A2267" s="132"/>
      <c r="B2267" s="41"/>
      <c r="C2267" s="9"/>
      <c r="D2267" s="133"/>
      <c r="E2267" s="133"/>
      <c r="F2267" s="24"/>
      <c r="G2267" s="24"/>
      <c r="I2267" s="13" t="str">
        <f>IFERROR(__xludf.DUMMYFUNCTION("if(isblank(A2267),,split(A2267,""-""))"),"")</f>
        <v/>
      </c>
      <c r="K2267" s="13" t="str">
        <f>IFERROR(__xludf.DUMMYFUNCTION("if(isblank(B2267),,split(B2267,""-""))"),"")</f>
        <v/>
      </c>
    </row>
    <row r="2268">
      <c r="A2268" s="132"/>
      <c r="B2268" s="41"/>
      <c r="C2268" s="9"/>
      <c r="D2268" s="133"/>
      <c r="E2268" s="133"/>
      <c r="F2268" s="24"/>
      <c r="G2268" s="24"/>
      <c r="I2268" s="13" t="str">
        <f>IFERROR(__xludf.DUMMYFUNCTION("if(isblank(A2268),,split(A2268,""-""))"),"")</f>
        <v/>
      </c>
      <c r="K2268" s="13" t="str">
        <f>IFERROR(__xludf.DUMMYFUNCTION("if(isblank(B2268),,split(B2268,""-""))"),"")</f>
        <v/>
      </c>
    </row>
    <row r="2269">
      <c r="A2269" s="132"/>
      <c r="B2269" s="41"/>
      <c r="C2269" s="9"/>
      <c r="D2269" s="133"/>
      <c r="E2269" s="133"/>
      <c r="F2269" s="24"/>
      <c r="G2269" s="24"/>
      <c r="I2269" s="13" t="str">
        <f>IFERROR(__xludf.DUMMYFUNCTION("if(isblank(A2269),,split(A2269,""-""))"),"")</f>
        <v/>
      </c>
      <c r="K2269" s="13" t="str">
        <f>IFERROR(__xludf.DUMMYFUNCTION("if(isblank(B2269),,split(B2269,""-""))"),"")</f>
        <v/>
      </c>
    </row>
    <row r="2270">
      <c r="A2270" s="132"/>
      <c r="B2270" s="41"/>
      <c r="C2270" s="9"/>
      <c r="D2270" s="133"/>
      <c r="E2270" s="133"/>
      <c r="F2270" s="24"/>
      <c r="G2270" s="24"/>
      <c r="I2270" s="13" t="str">
        <f>IFERROR(__xludf.DUMMYFUNCTION("if(isblank(A2270),,split(A2270,""-""))"),"")</f>
        <v/>
      </c>
      <c r="K2270" s="13" t="str">
        <f>IFERROR(__xludf.DUMMYFUNCTION("if(isblank(B2270),,split(B2270,""-""))"),"")</f>
        <v/>
      </c>
    </row>
    <row r="2271">
      <c r="A2271" s="132"/>
      <c r="B2271" s="41"/>
      <c r="C2271" s="9"/>
      <c r="D2271" s="133"/>
      <c r="E2271" s="133"/>
      <c r="F2271" s="24"/>
      <c r="G2271" s="24"/>
      <c r="I2271" s="13" t="str">
        <f>IFERROR(__xludf.DUMMYFUNCTION("if(isblank(A2271),,split(A2271,""-""))"),"")</f>
        <v/>
      </c>
      <c r="K2271" s="13" t="str">
        <f>IFERROR(__xludf.DUMMYFUNCTION("if(isblank(B2271),,split(B2271,""-""))"),"")</f>
        <v/>
      </c>
    </row>
    <row r="2272">
      <c r="A2272" s="132"/>
      <c r="B2272" s="41"/>
      <c r="C2272" s="9"/>
      <c r="D2272" s="133"/>
      <c r="E2272" s="133"/>
      <c r="F2272" s="24"/>
      <c r="G2272" s="24"/>
      <c r="I2272" s="13" t="str">
        <f>IFERROR(__xludf.DUMMYFUNCTION("if(isblank(A2272),,split(A2272,""-""))"),"")</f>
        <v/>
      </c>
      <c r="K2272" s="13" t="str">
        <f>IFERROR(__xludf.DUMMYFUNCTION("if(isblank(B2272),,split(B2272,""-""))"),"")</f>
        <v/>
      </c>
    </row>
    <row r="2273">
      <c r="A2273" s="132"/>
      <c r="B2273" s="41"/>
      <c r="C2273" s="9"/>
      <c r="D2273" s="133"/>
      <c r="E2273" s="133"/>
      <c r="F2273" s="24"/>
      <c r="G2273" s="24"/>
      <c r="I2273" s="13" t="str">
        <f>IFERROR(__xludf.DUMMYFUNCTION("if(isblank(A2273),,split(A2273,""-""))"),"")</f>
        <v/>
      </c>
      <c r="K2273" s="13" t="str">
        <f>IFERROR(__xludf.DUMMYFUNCTION("if(isblank(B2273),,split(B2273,""-""))"),"")</f>
        <v/>
      </c>
    </row>
    <row r="2274">
      <c r="A2274" s="132"/>
      <c r="B2274" s="41"/>
      <c r="C2274" s="9"/>
      <c r="D2274" s="133"/>
      <c r="E2274" s="133"/>
      <c r="F2274" s="24"/>
      <c r="G2274" s="24"/>
      <c r="I2274" s="13" t="str">
        <f>IFERROR(__xludf.DUMMYFUNCTION("if(isblank(A2274),,split(A2274,""-""))"),"")</f>
        <v/>
      </c>
      <c r="K2274" s="13" t="str">
        <f>IFERROR(__xludf.DUMMYFUNCTION("if(isblank(B2274),,split(B2274,""-""))"),"")</f>
        <v/>
      </c>
    </row>
    <row r="2275">
      <c r="A2275" s="132"/>
      <c r="B2275" s="41"/>
      <c r="C2275" s="9"/>
      <c r="D2275" s="133"/>
      <c r="E2275" s="133"/>
      <c r="F2275" s="24"/>
      <c r="G2275" s="24"/>
      <c r="I2275" s="13" t="str">
        <f>IFERROR(__xludf.DUMMYFUNCTION("if(isblank(A2275),,split(A2275,""-""))"),"")</f>
        <v/>
      </c>
      <c r="K2275" s="13" t="str">
        <f>IFERROR(__xludf.DUMMYFUNCTION("if(isblank(B2275),,split(B2275,""-""))"),"")</f>
        <v/>
      </c>
    </row>
    <row r="2276">
      <c r="A2276" s="132"/>
      <c r="B2276" s="41"/>
      <c r="C2276" s="9"/>
      <c r="D2276" s="133"/>
      <c r="E2276" s="133"/>
      <c r="F2276" s="24"/>
      <c r="G2276" s="24"/>
      <c r="I2276" s="13" t="str">
        <f>IFERROR(__xludf.DUMMYFUNCTION("if(isblank(A2276),,split(A2276,""-""))"),"")</f>
        <v/>
      </c>
      <c r="K2276" s="13" t="str">
        <f>IFERROR(__xludf.DUMMYFUNCTION("if(isblank(B2276),,split(B2276,""-""))"),"")</f>
        <v/>
      </c>
    </row>
    <row r="2277">
      <c r="A2277" s="132"/>
      <c r="B2277" s="41"/>
      <c r="C2277" s="9"/>
      <c r="D2277" s="133"/>
      <c r="E2277" s="133"/>
      <c r="F2277" s="24"/>
      <c r="G2277" s="24"/>
      <c r="I2277" s="13" t="str">
        <f>IFERROR(__xludf.DUMMYFUNCTION("if(isblank(A2277),,split(A2277,""-""))"),"")</f>
        <v/>
      </c>
      <c r="K2277" s="13" t="str">
        <f>IFERROR(__xludf.DUMMYFUNCTION("if(isblank(B2277),,split(B2277,""-""))"),"")</f>
        <v/>
      </c>
    </row>
    <row r="2278">
      <c r="A2278" s="132"/>
      <c r="B2278" s="41"/>
      <c r="C2278" s="9"/>
      <c r="D2278" s="133"/>
      <c r="E2278" s="133"/>
      <c r="F2278" s="24"/>
      <c r="G2278" s="24"/>
      <c r="I2278" s="13" t="str">
        <f>IFERROR(__xludf.DUMMYFUNCTION("if(isblank(A2278),,split(A2278,""-""))"),"")</f>
        <v/>
      </c>
      <c r="K2278" s="13" t="str">
        <f>IFERROR(__xludf.DUMMYFUNCTION("if(isblank(B2278),,split(B2278,""-""))"),"")</f>
        <v/>
      </c>
    </row>
    <row r="2279">
      <c r="A2279" s="132"/>
      <c r="B2279" s="41"/>
      <c r="C2279" s="9"/>
      <c r="D2279" s="133"/>
      <c r="E2279" s="133"/>
      <c r="F2279" s="24"/>
      <c r="G2279" s="24"/>
      <c r="I2279" s="13" t="str">
        <f>IFERROR(__xludf.DUMMYFUNCTION("if(isblank(A2279),,split(A2279,""-""))"),"")</f>
        <v/>
      </c>
      <c r="K2279" s="13" t="str">
        <f>IFERROR(__xludf.DUMMYFUNCTION("if(isblank(B2279),,split(B2279,""-""))"),"")</f>
        <v/>
      </c>
    </row>
    <row r="2280">
      <c r="A2280" s="132"/>
      <c r="B2280" s="41"/>
      <c r="C2280" s="9"/>
      <c r="D2280" s="133"/>
      <c r="E2280" s="133"/>
      <c r="F2280" s="24"/>
      <c r="G2280" s="24"/>
      <c r="I2280" s="13" t="str">
        <f>IFERROR(__xludf.DUMMYFUNCTION("if(isblank(A2280),,split(A2280,""-""))"),"")</f>
        <v/>
      </c>
      <c r="K2280" s="13" t="str">
        <f>IFERROR(__xludf.DUMMYFUNCTION("if(isblank(B2280),,split(B2280,""-""))"),"")</f>
        <v/>
      </c>
    </row>
    <row r="2281">
      <c r="A2281" s="132"/>
      <c r="B2281" s="41"/>
      <c r="C2281" s="9"/>
      <c r="D2281" s="133"/>
      <c r="E2281" s="133"/>
      <c r="F2281" s="24"/>
      <c r="G2281" s="24"/>
      <c r="I2281" s="13" t="str">
        <f>IFERROR(__xludf.DUMMYFUNCTION("if(isblank(A2281),,split(A2281,""-""))"),"")</f>
        <v/>
      </c>
      <c r="K2281" s="13" t="str">
        <f>IFERROR(__xludf.DUMMYFUNCTION("if(isblank(B2281),,split(B2281,""-""))"),"")</f>
        <v/>
      </c>
    </row>
    <row r="2282">
      <c r="A2282" s="132"/>
      <c r="B2282" s="41"/>
      <c r="C2282" s="9"/>
      <c r="D2282" s="133"/>
      <c r="E2282" s="133"/>
      <c r="F2282" s="24"/>
      <c r="G2282" s="24"/>
      <c r="I2282" s="13" t="str">
        <f>IFERROR(__xludf.DUMMYFUNCTION("if(isblank(A2282),,split(A2282,""-""))"),"")</f>
        <v/>
      </c>
      <c r="K2282" s="13" t="str">
        <f>IFERROR(__xludf.DUMMYFUNCTION("if(isblank(B2282),,split(B2282,""-""))"),"")</f>
        <v/>
      </c>
    </row>
    <row r="2283">
      <c r="A2283" s="132"/>
      <c r="B2283" s="41"/>
      <c r="C2283" s="9"/>
      <c r="D2283" s="133"/>
      <c r="E2283" s="133"/>
      <c r="F2283" s="24"/>
      <c r="G2283" s="24"/>
      <c r="I2283" s="13" t="str">
        <f>IFERROR(__xludf.DUMMYFUNCTION("if(isblank(A2283),,split(A2283,""-""))"),"")</f>
        <v/>
      </c>
      <c r="K2283" s="13" t="str">
        <f>IFERROR(__xludf.DUMMYFUNCTION("if(isblank(B2283),,split(B2283,""-""))"),"")</f>
        <v/>
      </c>
    </row>
    <row r="2284">
      <c r="A2284" s="132"/>
      <c r="B2284" s="41"/>
      <c r="C2284" s="9"/>
      <c r="D2284" s="133"/>
      <c r="E2284" s="133"/>
      <c r="F2284" s="24"/>
      <c r="G2284" s="24"/>
      <c r="I2284" s="13" t="str">
        <f>IFERROR(__xludf.DUMMYFUNCTION("if(isblank(A2284),,split(A2284,""-""))"),"")</f>
        <v/>
      </c>
      <c r="K2284" s="13" t="str">
        <f>IFERROR(__xludf.DUMMYFUNCTION("if(isblank(B2284),,split(B2284,""-""))"),"")</f>
        <v/>
      </c>
    </row>
    <row r="2285">
      <c r="A2285" s="132"/>
      <c r="B2285" s="41"/>
      <c r="C2285" s="9"/>
      <c r="D2285" s="133"/>
      <c r="E2285" s="133"/>
      <c r="F2285" s="24"/>
      <c r="G2285" s="24"/>
      <c r="I2285" s="13" t="str">
        <f>IFERROR(__xludf.DUMMYFUNCTION("if(isblank(A2285),,split(A2285,""-""))"),"")</f>
        <v/>
      </c>
      <c r="K2285" s="13" t="str">
        <f>IFERROR(__xludf.DUMMYFUNCTION("if(isblank(B2285),,split(B2285,""-""))"),"")</f>
        <v/>
      </c>
    </row>
    <row r="2286">
      <c r="A2286" s="132"/>
      <c r="B2286" s="41"/>
      <c r="C2286" s="9"/>
      <c r="D2286" s="133"/>
      <c r="E2286" s="133"/>
      <c r="F2286" s="24"/>
      <c r="G2286" s="24"/>
      <c r="I2286" s="13" t="str">
        <f>IFERROR(__xludf.DUMMYFUNCTION("if(isblank(A2286),,split(A2286,""-""))"),"")</f>
        <v/>
      </c>
      <c r="K2286" s="13" t="str">
        <f>IFERROR(__xludf.DUMMYFUNCTION("if(isblank(B2286),,split(B2286,""-""))"),"")</f>
        <v/>
      </c>
    </row>
    <row r="2287">
      <c r="A2287" s="132"/>
      <c r="B2287" s="41"/>
      <c r="C2287" s="9"/>
      <c r="D2287" s="133"/>
      <c r="E2287" s="133"/>
      <c r="F2287" s="24"/>
      <c r="G2287" s="24"/>
      <c r="I2287" s="13" t="str">
        <f>IFERROR(__xludf.DUMMYFUNCTION("if(isblank(A2287),,split(A2287,""-""))"),"")</f>
        <v/>
      </c>
      <c r="K2287" s="13" t="str">
        <f>IFERROR(__xludf.DUMMYFUNCTION("if(isblank(B2287),,split(B2287,""-""))"),"")</f>
        <v/>
      </c>
    </row>
    <row r="2288">
      <c r="A2288" s="132"/>
      <c r="B2288" s="41"/>
      <c r="C2288" s="9"/>
      <c r="D2288" s="133"/>
      <c r="E2288" s="133"/>
      <c r="F2288" s="24"/>
      <c r="G2288" s="24"/>
      <c r="I2288" s="13" t="str">
        <f>IFERROR(__xludf.DUMMYFUNCTION("if(isblank(A2288),,split(A2288,""-""))"),"")</f>
        <v/>
      </c>
      <c r="K2288" s="13" t="str">
        <f>IFERROR(__xludf.DUMMYFUNCTION("if(isblank(B2288),,split(B2288,""-""))"),"")</f>
        <v/>
      </c>
    </row>
    <row r="2289">
      <c r="A2289" s="132"/>
      <c r="B2289" s="41"/>
      <c r="C2289" s="9"/>
      <c r="D2289" s="133"/>
      <c r="E2289" s="133"/>
      <c r="F2289" s="24"/>
      <c r="G2289" s="24"/>
      <c r="I2289" s="13" t="str">
        <f>IFERROR(__xludf.DUMMYFUNCTION("if(isblank(A2289),,split(A2289,""-""))"),"")</f>
        <v/>
      </c>
      <c r="K2289" s="13" t="str">
        <f>IFERROR(__xludf.DUMMYFUNCTION("if(isblank(B2289),,split(B2289,""-""))"),"")</f>
        <v/>
      </c>
    </row>
    <row r="2290">
      <c r="A2290" s="132"/>
      <c r="B2290" s="41"/>
      <c r="C2290" s="9"/>
      <c r="D2290" s="133"/>
      <c r="E2290" s="133"/>
      <c r="F2290" s="24"/>
      <c r="G2290" s="24"/>
      <c r="I2290" s="13" t="str">
        <f>IFERROR(__xludf.DUMMYFUNCTION("if(isblank(A2290),,split(A2290,""-""))"),"")</f>
        <v/>
      </c>
      <c r="K2290" s="13" t="str">
        <f>IFERROR(__xludf.DUMMYFUNCTION("if(isblank(B2290),,split(B2290,""-""))"),"")</f>
        <v/>
      </c>
    </row>
    <row r="2291">
      <c r="A2291" s="132"/>
      <c r="B2291" s="41"/>
      <c r="C2291" s="9"/>
      <c r="D2291" s="133"/>
      <c r="E2291" s="133"/>
      <c r="F2291" s="24"/>
      <c r="G2291" s="24"/>
      <c r="I2291" s="13" t="str">
        <f>IFERROR(__xludf.DUMMYFUNCTION("if(isblank(A2291),,split(A2291,""-""))"),"")</f>
        <v/>
      </c>
      <c r="K2291" s="13" t="str">
        <f>IFERROR(__xludf.DUMMYFUNCTION("if(isblank(B2291),,split(B2291,""-""))"),"")</f>
        <v/>
      </c>
    </row>
    <row r="2292">
      <c r="A2292" s="132"/>
      <c r="B2292" s="41"/>
      <c r="C2292" s="9"/>
      <c r="D2292" s="133"/>
      <c r="E2292" s="133"/>
      <c r="F2292" s="24"/>
      <c r="G2292" s="24"/>
      <c r="I2292" s="13" t="str">
        <f>IFERROR(__xludf.DUMMYFUNCTION("if(isblank(A2292),,split(A2292,""-""))"),"")</f>
        <v/>
      </c>
      <c r="K2292" s="13" t="str">
        <f>IFERROR(__xludf.DUMMYFUNCTION("if(isblank(B2292),,split(B2292,""-""))"),"")</f>
        <v/>
      </c>
    </row>
    <row r="2293">
      <c r="A2293" s="132"/>
      <c r="B2293" s="41"/>
      <c r="C2293" s="9"/>
      <c r="D2293" s="133"/>
      <c r="E2293" s="133"/>
      <c r="F2293" s="24"/>
      <c r="G2293" s="24"/>
      <c r="I2293" s="13" t="str">
        <f>IFERROR(__xludf.DUMMYFUNCTION("if(isblank(A2293),,split(A2293,""-""))"),"")</f>
        <v/>
      </c>
      <c r="K2293" s="13" t="str">
        <f>IFERROR(__xludf.DUMMYFUNCTION("if(isblank(B2293),,split(B2293,""-""))"),"")</f>
        <v/>
      </c>
    </row>
    <row r="2294">
      <c r="A2294" s="132"/>
      <c r="B2294" s="41"/>
      <c r="C2294" s="9"/>
      <c r="D2294" s="133"/>
      <c r="E2294" s="133"/>
      <c r="F2294" s="24"/>
      <c r="G2294" s="24"/>
      <c r="I2294" s="13" t="str">
        <f>IFERROR(__xludf.DUMMYFUNCTION("if(isblank(A2294),,split(A2294,""-""))"),"")</f>
        <v/>
      </c>
      <c r="K2294" s="13" t="str">
        <f>IFERROR(__xludf.DUMMYFUNCTION("if(isblank(B2294),,split(B2294,""-""))"),"")</f>
        <v/>
      </c>
    </row>
    <row r="2295">
      <c r="A2295" s="132"/>
      <c r="B2295" s="41"/>
      <c r="C2295" s="9"/>
      <c r="D2295" s="133"/>
      <c r="E2295" s="133"/>
      <c r="F2295" s="24"/>
      <c r="G2295" s="24"/>
      <c r="I2295" s="13" t="str">
        <f>IFERROR(__xludf.DUMMYFUNCTION("if(isblank(A2295),,split(A2295,""-""))"),"")</f>
        <v/>
      </c>
      <c r="K2295" s="13" t="str">
        <f>IFERROR(__xludf.DUMMYFUNCTION("if(isblank(B2295),,split(B2295,""-""))"),"")</f>
        <v/>
      </c>
    </row>
    <row r="2296">
      <c r="A2296" s="132"/>
      <c r="B2296" s="41"/>
      <c r="C2296" s="9"/>
      <c r="D2296" s="133"/>
      <c r="E2296" s="133"/>
      <c r="F2296" s="24"/>
      <c r="G2296" s="24"/>
      <c r="I2296" s="13" t="str">
        <f>IFERROR(__xludf.DUMMYFUNCTION("if(isblank(A2296),,split(A2296,""-""))"),"")</f>
        <v/>
      </c>
      <c r="K2296" s="13" t="str">
        <f>IFERROR(__xludf.DUMMYFUNCTION("if(isblank(B2296),,split(B2296,""-""))"),"")</f>
        <v/>
      </c>
    </row>
    <row r="2297">
      <c r="A2297" s="132"/>
      <c r="B2297" s="41"/>
      <c r="C2297" s="9"/>
      <c r="D2297" s="133"/>
      <c r="E2297" s="133"/>
      <c r="F2297" s="24"/>
      <c r="G2297" s="24"/>
      <c r="I2297" s="13" t="str">
        <f>IFERROR(__xludf.DUMMYFUNCTION("if(isblank(A2297),,split(A2297,""-""))"),"")</f>
        <v/>
      </c>
      <c r="K2297" s="13" t="str">
        <f>IFERROR(__xludf.DUMMYFUNCTION("if(isblank(B2297),,split(B2297,""-""))"),"")</f>
        <v/>
      </c>
    </row>
    <row r="2298">
      <c r="A2298" s="132"/>
      <c r="B2298" s="41"/>
      <c r="C2298" s="9"/>
      <c r="D2298" s="133"/>
      <c r="E2298" s="133"/>
      <c r="F2298" s="24"/>
      <c r="G2298" s="24"/>
      <c r="I2298" s="13" t="str">
        <f>IFERROR(__xludf.DUMMYFUNCTION("if(isblank(A2298),,split(A2298,""-""))"),"")</f>
        <v/>
      </c>
      <c r="K2298" s="13" t="str">
        <f>IFERROR(__xludf.DUMMYFUNCTION("if(isblank(B2298),,split(B2298,""-""))"),"")</f>
        <v/>
      </c>
    </row>
    <row r="2299">
      <c r="A2299" s="132"/>
      <c r="B2299" s="41"/>
      <c r="C2299" s="9"/>
      <c r="D2299" s="133"/>
      <c r="E2299" s="133"/>
      <c r="F2299" s="24"/>
      <c r="G2299" s="24"/>
      <c r="I2299" s="13" t="str">
        <f>IFERROR(__xludf.DUMMYFUNCTION("if(isblank(A2299),,split(A2299,""-""))"),"")</f>
        <v/>
      </c>
      <c r="K2299" s="13" t="str">
        <f>IFERROR(__xludf.DUMMYFUNCTION("if(isblank(B2299),,split(B2299,""-""))"),"")</f>
        <v/>
      </c>
    </row>
    <row r="2300">
      <c r="A2300" s="132"/>
      <c r="B2300" s="41"/>
      <c r="C2300" s="9"/>
      <c r="D2300" s="133"/>
      <c r="E2300" s="133"/>
      <c r="F2300" s="24"/>
      <c r="G2300" s="24"/>
      <c r="I2300" s="13" t="str">
        <f>IFERROR(__xludf.DUMMYFUNCTION("if(isblank(A2300),,split(A2300,""-""))"),"")</f>
        <v/>
      </c>
      <c r="K2300" s="13" t="str">
        <f>IFERROR(__xludf.DUMMYFUNCTION("if(isblank(B2300),,split(B2300,""-""))"),"")</f>
        <v/>
      </c>
    </row>
    <row r="2301">
      <c r="A2301" s="132"/>
      <c r="B2301" s="41"/>
      <c r="C2301" s="9"/>
      <c r="D2301" s="133"/>
      <c r="E2301" s="133"/>
      <c r="F2301" s="24"/>
      <c r="G2301" s="24"/>
      <c r="I2301" s="13" t="str">
        <f>IFERROR(__xludf.DUMMYFUNCTION("if(isblank(A2301),,split(A2301,""-""))"),"")</f>
        <v/>
      </c>
      <c r="K2301" s="13" t="str">
        <f>IFERROR(__xludf.DUMMYFUNCTION("if(isblank(B2301),,split(B2301,""-""))"),"")</f>
        <v/>
      </c>
    </row>
    <row r="2302">
      <c r="A2302" s="132"/>
      <c r="B2302" s="41"/>
      <c r="C2302" s="9"/>
      <c r="D2302" s="133"/>
      <c r="E2302" s="133"/>
      <c r="F2302" s="24"/>
      <c r="G2302" s="24"/>
      <c r="I2302" s="13" t="str">
        <f>IFERROR(__xludf.DUMMYFUNCTION("if(isblank(A2302),,split(A2302,""-""))"),"")</f>
        <v/>
      </c>
      <c r="K2302" s="13" t="str">
        <f>IFERROR(__xludf.DUMMYFUNCTION("if(isblank(B2302),,split(B2302,""-""))"),"")</f>
        <v/>
      </c>
    </row>
    <row r="2303">
      <c r="A2303" s="132"/>
      <c r="B2303" s="41"/>
      <c r="C2303" s="9"/>
      <c r="D2303" s="133"/>
      <c r="E2303" s="133"/>
      <c r="F2303" s="24"/>
      <c r="G2303" s="24"/>
      <c r="I2303" s="13" t="str">
        <f>IFERROR(__xludf.DUMMYFUNCTION("if(isblank(A2303),,split(A2303,""-""))"),"")</f>
        <v/>
      </c>
      <c r="K2303" s="13" t="str">
        <f>IFERROR(__xludf.DUMMYFUNCTION("if(isblank(B2303),,split(B2303,""-""))"),"")</f>
        <v/>
      </c>
    </row>
    <row r="2304">
      <c r="A2304" s="132"/>
      <c r="B2304" s="41"/>
      <c r="C2304" s="9"/>
      <c r="D2304" s="133"/>
      <c r="E2304" s="133"/>
      <c r="F2304" s="24"/>
      <c r="G2304" s="24"/>
      <c r="I2304" s="13" t="str">
        <f>IFERROR(__xludf.DUMMYFUNCTION("if(isblank(A2304),,split(A2304,""-""))"),"")</f>
        <v/>
      </c>
      <c r="K2304" s="13" t="str">
        <f>IFERROR(__xludf.DUMMYFUNCTION("if(isblank(B2304),,split(B2304,""-""))"),"")</f>
        <v/>
      </c>
    </row>
    <row r="2305">
      <c r="A2305" s="132"/>
      <c r="B2305" s="41"/>
      <c r="C2305" s="9"/>
      <c r="D2305" s="133"/>
      <c r="E2305" s="133"/>
      <c r="F2305" s="24"/>
      <c r="G2305" s="24"/>
      <c r="I2305" s="13" t="str">
        <f>IFERROR(__xludf.DUMMYFUNCTION("if(isblank(A2305),,split(A2305,""-""))"),"")</f>
        <v/>
      </c>
      <c r="K2305" s="13" t="str">
        <f>IFERROR(__xludf.DUMMYFUNCTION("if(isblank(B2305),,split(B2305,""-""))"),"")</f>
        <v/>
      </c>
    </row>
    <row r="2306">
      <c r="A2306" s="132"/>
      <c r="B2306" s="41"/>
      <c r="C2306" s="9"/>
      <c r="D2306" s="133"/>
      <c r="E2306" s="133"/>
      <c r="F2306" s="24"/>
      <c r="G2306" s="24"/>
      <c r="I2306" s="13" t="str">
        <f>IFERROR(__xludf.DUMMYFUNCTION("if(isblank(A2306),,split(A2306,""-""))"),"")</f>
        <v/>
      </c>
      <c r="K2306" s="13" t="str">
        <f>IFERROR(__xludf.DUMMYFUNCTION("if(isblank(B2306),,split(B2306,""-""))"),"")</f>
        <v/>
      </c>
    </row>
    <row r="2307">
      <c r="A2307" s="132"/>
      <c r="B2307" s="41"/>
      <c r="C2307" s="9"/>
      <c r="D2307" s="133"/>
      <c r="E2307" s="133"/>
      <c r="F2307" s="24"/>
      <c r="G2307" s="24"/>
      <c r="I2307" s="13" t="str">
        <f>IFERROR(__xludf.DUMMYFUNCTION("if(isblank(A2307),,split(A2307,""-""))"),"")</f>
        <v/>
      </c>
      <c r="K2307" s="13" t="str">
        <f>IFERROR(__xludf.DUMMYFUNCTION("if(isblank(B2307),,split(B2307,""-""))"),"")</f>
        <v/>
      </c>
    </row>
    <row r="2308">
      <c r="A2308" s="132"/>
      <c r="B2308" s="41"/>
      <c r="C2308" s="9"/>
      <c r="D2308" s="133"/>
      <c r="E2308" s="133"/>
      <c r="F2308" s="24"/>
      <c r="G2308" s="24"/>
      <c r="I2308" s="13" t="str">
        <f>IFERROR(__xludf.DUMMYFUNCTION("if(isblank(A2308),,split(A2308,""-""))"),"")</f>
        <v/>
      </c>
      <c r="K2308" s="13" t="str">
        <f>IFERROR(__xludf.DUMMYFUNCTION("if(isblank(B2308),,split(B2308,""-""))"),"")</f>
        <v/>
      </c>
    </row>
    <row r="2309">
      <c r="A2309" s="132"/>
      <c r="B2309" s="41"/>
      <c r="C2309" s="9"/>
      <c r="D2309" s="133"/>
      <c r="E2309" s="133"/>
      <c r="F2309" s="24"/>
      <c r="G2309" s="24"/>
      <c r="I2309" s="13" t="str">
        <f>IFERROR(__xludf.DUMMYFUNCTION("if(isblank(A2309),,split(A2309,""-""))"),"")</f>
        <v/>
      </c>
      <c r="K2309" s="13" t="str">
        <f>IFERROR(__xludf.DUMMYFUNCTION("if(isblank(B2309),,split(B2309,""-""))"),"")</f>
        <v/>
      </c>
    </row>
    <row r="2310">
      <c r="A2310" s="132"/>
      <c r="B2310" s="41"/>
      <c r="C2310" s="9"/>
      <c r="D2310" s="133"/>
      <c r="E2310" s="133"/>
      <c r="F2310" s="24"/>
      <c r="G2310" s="24"/>
      <c r="I2310" s="13" t="str">
        <f>IFERROR(__xludf.DUMMYFUNCTION("if(isblank(A2310),,split(A2310,""-""))"),"")</f>
        <v/>
      </c>
      <c r="K2310" s="13" t="str">
        <f>IFERROR(__xludf.DUMMYFUNCTION("if(isblank(B2310),,split(B2310,""-""))"),"")</f>
        <v/>
      </c>
    </row>
    <row r="2311">
      <c r="A2311" s="132"/>
      <c r="B2311" s="41"/>
      <c r="C2311" s="9"/>
      <c r="D2311" s="133"/>
      <c r="E2311" s="133"/>
      <c r="F2311" s="24"/>
      <c r="G2311" s="24"/>
      <c r="I2311" s="13" t="str">
        <f>IFERROR(__xludf.DUMMYFUNCTION("if(isblank(A2311),,split(A2311,""-""))"),"")</f>
        <v/>
      </c>
      <c r="K2311" s="13" t="str">
        <f>IFERROR(__xludf.DUMMYFUNCTION("if(isblank(B2311),,split(B2311,""-""))"),"")</f>
        <v/>
      </c>
    </row>
    <row r="2312">
      <c r="A2312" s="132"/>
      <c r="B2312" s="41"/>
      <c r="C2312" s="9"/>
      <c r="D2312" s="133"/>
      <c r="E2312" s="133"/>
      <c r="F2312" s="24"/>
      <c r="G2312" s="24"/>
      <c r="I2312" s="13" t="str">
        <f>IFERROR(__xludf.DUMMYFUNCTION("if(isblank(A2312),,split(A2312,""-""))"),"")</f>
        <v/>
      </c>
      <c r="K2312" s="13" t="str">
        <f>IFERROR(__xludf.DUMMYFUNCTION("if(isblank(B2312),,split(B2312,""-""))"),"")</f>
        <v/>
      </c>
    </row>
    <row r="2313">
      <c r="A2313" s="132"/>
      <c r="B2313" s="41"/>
      <c r="C2313" s="9"/>
      <c r="D2313" s="133"/>
      <c r="E2313" s="133"/>
      <c r="F2313" s="24"/>
      <c r="G2313" s="24"/>
      <c r="I2313" s="13" t="str">
        <f>IFERROR(__xludf.DUMMYFUNCTION("if(isblank(A2313),,split(A2313,""-""))"),"")</f>
        <v/>
      </c>
      <c r="K2313" s="13" t="str">
        <f>IFERROR(__xludf.DUMMYFUNCTION("if(isblank(B2313),,split(B2313,""-""))"),"")</f>
        <v/>
      </c>
    </row>
    <row r="2314">
      <c r="A2314" s="132"/>
      <c r="B2314" s="41"/>
      <c r="C2314" s="9"/>
      <c r="D2314" s="133"/>
      <c r="E2314" s="133"/>
      <c r="F2314" s="24"/>
      <c r="G2314" s="24"/>
      <c r="I2314" s="13" t="str">
        <f>IFERROR(__xludf.DUMMYFUNCTION("if(isblank(A2314),,split(A2314,""-""))"),"")</f>
        <v/>
      </c>
      <c r="K2314" s="13" t="str">
        <f>IFERROR(__xludf.DUMMYFUNCTION("if(isblank(B2314),,split(B2314,""-""))"),"")</f>
        <v/>
      </c>
    </row>
    <row r="2315">
      <c r="A2315" s="132"/>
      <c r="B2315" s="41"/>
      <c r="C2315" s="9"/>
      <c r="D2315" s="133"/>
      <c r="E2315" s="133"/>
      <c r="F2315" s="24"/>
      <c r="G2315" s="24"/>
      <c r="I2315" s="13" t="str">
        <f>IFERROR(__xludf.DUMMYFUNCTION("if(isblank(A2315),,split(A2315,""-""))"),"")</f>
        <v/>
      </c>
      <c r="K2315" s="13" t="str">
        <f>IFERROR(__xludf.DUMMYFUNCTION("if(isblank(B2315),,split(B2315,""-""))"),"")</f>
        <v/>
      </c>
    </row>
    <row r="2316">
      <c r="A2316" s="132"/>
      <c r="B2316" s="41"/>
      <c r="C2316" s="9"/>
      <c r="D2316" s="133"/>
      <c r="E2316" s="133"/>
      <c r="F2316" s="24"/>
      <c r="G2316" s="24"/>
      <c r="I2316" s="13" t="str">
        <f>IFERROR(__xludf.DUMMYFUNCTION("if(isblank(A2316),,split(A2316,""-""))"),"")</f>
        <v/>
      </c>
      <c r="K2316" s="13" t="str">
        <f>IFERROR(__xludf.DUMMYFUNCTION("if(isblank(B2316),,split(B2316,""-""))"),"")</f>
        <v/>
      </c>
    </row>
    <row r="2317">
      <c r="A2317" s="132"/>
      <c r="B2317" s="41"/>
      <c r="C2317" s="9"/>
      <c r="D2317" s="133"/>
      <c r="E2317" s="133"/>
      <c r="F2317" s="24"/>
      <c r="G2317" s="24"/>
      <c r="I2317" s="13" t="str">
        <f>IFERROR(__xludf.DUMMYFUNCTION("if(isblank(A2317),,split(A2317,""-""))"),"")</f>
        <v/>
      </c>
      <c r="K2317" s="13" t="str">
        <f>IFERROR(__xludf.DUMMYFUNCTION("if(isblank(B2317),,split(B2317,""-""))"),"")</f>
        <v/>
      </c>
    </row>
    <row r="2318">
      <c r="A2318" s="132"/>
      <c r="B2318" s="41"/>
      <c r="C2318" s="9"/>
      <c r="D2318" s="133"/>
      <c r="E2318" s="133"/>
      <c r="F2318" s="24"/>
      <c r="G2318" s="24"/>
      <c r="I2318" s="13" t="str">
        <f>IFERROR(__xludf.DUMMYFUNCTION("if(isblank(A2318),,split(A2318,""-""))"),"")</f>
        <v/>
      </c>
      <c r="K2318" s="13" t="str">
        <f>IFERROR(__xludf.DUMMYFUNCTION("if(isblank(B2318),,split(B2318,""-""))"),"")</f>
        <v/>
      </c>
    </row>
    <row r="2319">
      <c r="A2319" s="132"/>
      <c r="B2319" s="41"/>
      <c r="C2319" s="9"/>
      <c r="D2319" s="133"/>
      <c r="E2319" s="133"/>
      <c r="F2319" s="24"/>
      <c r="G2319" s="24"/>
      <c r="I2319" s="13" t="str">
        <f>IFERROR(__xludf.DUMMYFUNCTION("if(isblank(A2319),,split(A2319,""-""))"),"")</f>
        <v/>
      </c>
      <c r="K2319" s="13" t="str">
        <f>IFERROR(__xludf.DUMMYFUNCTION("if(isblank(B2319),,split(B2319,""-""))"),"")</f>
        <v/>
      </c>
    </row>
    <row r="2320">
      <c r="A2320" s="132"/>
      <c r="B2320" s="41"/>
      <c r="C2320" s="9"/>
      <c r="D2320" s="133"/>
      <c r="E2320" s="133"/>
      <c r="F2320" s="24"/>
      <c r="G2320" s="24"/>
      <c r="I2320" s="13" t="str">
        <f>IFERROR(__xludf.DUMMYFUNCTION("if(isblank(A2320),,split(A2320,""-""))"),"")</f>
        <v/>
      </c>
      <c r="K2320" s="13" t="str">
        <f>IFERROR(__xludf.DUMMYFUNCTION("if(isblank(B2320),,split(B2320,""-""))"),"")</f>
        <v/>
      </c>
    </row>
    <row r="2321">
      <c r="A2321" s="132"/>
      <c r="B2321" s="41"/>
      <c r="C2321" s="9"/>
      <c r="D2321" s="133"/>
      <c r="E2321" s="133"/>
      <c r="F2321" s="24"/>
      <c r="G2321" s="24"/>
      <c r="I2321" s="13" t="str">
        <f>IFERROR(__xludf.DUMMYFUNCTION("if(isblank(A2321),,split(A2321,""-""))"),"")</f>
        <v/>
      </c>
      <c r="K2321" s="13" t="str">
        <f>IFERROR(__xludf.DUMMYFUNCTION("if(isblank(B2321),,split(B2321,""-""))"),"")</f>
        <v/>
      </c>
    </row>
    <row r="2322">
      <c r="A2322" s="132"/>
      <c r="B2322" s="41"/>
      <c r="C2322" s="9"/>
      <c r="D2322" s="133"/>
      <c r="E2322" s="133"/>
      <c r="F2322" s="24"/>
      <c r="G2322" s="24"/>
      <c r="I2322" s="13" t="str">
        <f>IFERROR(__xludf.DUMMYFUNCTION("if(isblank(A2322),,split(A2322,""-""))"),"")</f>
        <v/>
      </c>
      <c r="K2322" s="13" t="str">
        <f>IFERROR(__xludf.DUMMYFUNCTION("if(isblank(B2322),,split(B2322,""-""))"),"")</f>
        <v/>
      </c>
    </row>
    <row r="2323">
      <c r="A2323" s="132"/>
      <c r="B2323" s="41"/>
      <c r="C2323" s="9"/>
      <c r="D2323" s="133"/>
      <c r="E2323" s="133"/>
      <c r="F2323" s="24"/>
      <c r="G2323" s="24"/>
      <c r="I2323" s="13" t="str">
        <f>IFERROR(__xludf.DUMMYFUNCTION("if(isblank(A2323),,split(A2323,""-""))"),"")</f>
        <v/>
      </c>
      <c r="K2323" s="13" t="str">
        <f>IFERROR(__xludf.DUMMYFUNCTION("if(isblank(B2323),,split(B2323,""-""))"),"")</f>
        <v/>
      </c>
    </row>
    <row r="2324">
      <c r="A2324" s="132"/>
      <c r="B2324" s="41"/>
      <c r="C2324" s="9"/>
      <c r="D2324" s="133"/>
      <c r="E2324" s="133"/>
      <c r="F2324" s="24"/>
      <c r="G2324" s="24"/>
      <c r="I2324" s="13" t="str">
        <f>IFERROR(__xludf.DUMMYFUNCTION("if(isblank(A2324),,split(A2324,""-""))"),"")</f>
        <v/>
      </c>
      <c r="K2324" s="13" t="str">
        <f>IFERROR(__xludf.DUMMYFUNCTION("if(isblank(B2324),,split(B2324,""-""))"),"")</f>
        <v/>
      </c>
    </row>
    <row r="2325">
      <c r="A2325" s="132"/>
      <c r="B2325" s="41"/>
      <c r="C2325" s="9"/>
      <c r="D2325" s="133"/>
      <c r="E2325" s="133"/>
      <c r="F2325" s="24"/>
      <c r="G2325" s="24"/>
      <c r="I2325" s="13" t="str">
        <f>IFERROR(__xludf.DUMMYFUNCTION("if(isblank(A2325),,split(A2325,""-""))"),"")</f>
        <v/>
      </c>
      <c r="K2325" s="13" t="str">
        <f>IFERROR(__xludf.DUMMYFUNCTION("if(isblank(B2325),,split(B2325,""-""))"),"")</f>
        <v/>
      </c>
    </row>
    <row r="2326">
      <c r="A2326" s="132"/>
      <c r="B2326" s="41"/>
      <c r="C2326" s="9"/>
      <c r="D2326" s="133"/>
      <c r="E2326" s="133"/>
      <c r="F2326" s="24"/>
      <c r="G2326" s="24"/>
      <c r="I2326" s="13" t="str">
        <f>IFERROR(__xludf.DUMMYFUNCTION("if(isblank(A2326),,split(A2326,""-""))"),"")</f>
        <v/>
      </c>
      <c r="K2326" s="13" t="str">
        <f>IFERROR(__xludf.DUMMYFUNCTION("if(isblank(B2326),,split(B2326,""-""))"),"")</f>
        <v/>
      </c>
    </row>
    <row r="2327">
      <c r="A2327" s="132"/>
      <c r="B2327" s="41"/>
      <c r="C2327" s="9"/>
      <c r="D2327" s="133"/>
      <c r="E2327" s="133"/>
      <c r="F2327" s="24"/>
      <c r="G2327" s="24"/>
      <c r="I2327" s="13" t="str">
        <f>IFERROR(__xludf.DUMMYFUNCTION("if(isblank(A2327),,split(A2327,""-""))"),"")</f>
        <v/>
      </c>
      <c r="K2327" s="13" t="str">
        <f>IFERROR(__xludf.DUMMYFUNCTION("if(isblank(B2327),,split(B2327,""-""))"),"")</f>
        <v/>
      </c>
    </row>
    <row r="2328">
      <c r="A2328" s="132"/>
      <c r="B2328" s="41"/>
      <c r="C2328" s="9"/>
      <c r="D2328" s="133"/>
      <c r="E2328" s="133"/>
      <c r="F2328" s="24"/>
      <c r="G2328" s="24"/>
      <c r="I2328" s="13" t="str">
        <f>IFERROR(__xludf.DUMMYFUNCTION("if(isblank(A2328),,split(A2328,""-""))"),"")</f>
        <v/>
      </c>
      <c r="K2328" s="13" t="str">
        <f>IFERROR(__xludf.DUMMYFUNCTION("if(isblank(B2328),,split(B2328,""-""))"),"")</f>
        <v/>
      </c>
    </row>
    <row r="2329">
      <c r="A2329" s="132"/>
      <c r="B2329" s="41"/>
      <c r="C2329" s="9"/>
      <c r="D2329" s="133"/>
      <c r="E2329" s="133"/>
      <c r="F2329" s="24"/>
      <c r="G2329" s="24"/>
      <c r="I2329" s="13" t="str">
        <f>IFERROR(__xludf.DUMMYFUNCTION("if(isblank(A2329),,split(A2329,""-""))"),"")</f>
        <v/>
      </c>
      <c r="K2329" s="13" t="str">
        <f>IFERROR(__xludf.DUMMYFUNCTION("if(isblank(B2329),,split(B2329,""-""))"),"")</f>
        <v/>
      </c>
    </row>
    <row r="2330">
      <c r="A2330" s="132"/>
      <c r="B2330" s="41"/>
      <c r="C2330" s="9"/>
      <c r="D2330" s="133"/>
      <c r="E2330" s="133"/>
      <c r="F2330" s="24"/>
      <c r="G2330" s="24"/>
      <c r="I2330" s="13" t="str">
        <f>IFERROR(__xludf.DUMMYFUNCTION("if(isblank(A2330),,split(A2330,""-""))"),"")</f>
        <v/>
      </c>
      <c r="K2330" s="13" t="str">
        <f>IFERROR(__xludf.DUMMYFUNCTION("if(isblank(B2330),,split(B2330,""-""))"),"")</f>
        <v/>
      </c>
    </row>
    <row r="2331">
      <c r="A2331" s="132"/>
      <c r="B2331" s="41"/>
      <c r="C2331" s="9"/>
      <c r="D2331" s="133"/>
      <c r="E2331" s="133"/>
      <c r="F2331" s="24"/>
      <c r="G2331" s="24"/>
      <c r="I2331" s="13" t="str">
        <f>IFERROR(__xludf.DUMMYFUNCTION("if(isblank(A2331),,split(A2331,""-""))"),"")</f>
        <v/>
      </c>
      <c r="K2331" s="13" t="str">
        <f>IFERROR(__xludf.DUMMYFUNCTION("if(isblank(B2331),,split(B2331,""-""))"),"")</f>
        <v/>
      </c>
    </row>
    <row r="2332">
      <c r="A2332" s="132"/>
      <c r="B2332" s="41"/>
      <c r="C2332" s="9"/>
      <c r="D2332" s="133"/>
      <c r="E2332" s="133"/>
      <c r="F2332" s="24"/>
      <c r="G2332" s="24"/>
      <c r="I2332" s="13" t="str">
        <f>IFERROR(__xludf.DUMMYFUNCTION("if(isblank(A2332),,split(A2332,""-""))"),"")</f>
        <v/>
      </c>
      <c r="K2332" s="13" t="str">
        <f>IFERROR(__xludf.DUMMYFUNCTION("if(isblank(B2332),,split(B2332,""-""))"),"")</f>
        <v/>
      </c>
    </row>
    <row r="2333">
      <c r="A2333" s="132"/>
      <c r="B2333" s="41"/>
      <c r="C2333" s="9"/>
      <c r="D2333" s="133"/>
      <c r="E2333" s="133"/>
      <c r="F2333" s="24"/>
      <c r="G2333" s="24"/>
      <c r="I2333" s="13" t="str">
        <f>IFERROR(__xludf.DUMMYFUNCTION("if(isblank(A2333),,split(A2333,""-""))"),"")</f>
        <v/>
      </c>
      <c r="K2333" s="13" t="str">
        <f>IFERROR(__xludf.DUMMYFUNCTION("if(isblank(B2333),,split(B2333,""-""))"),"")</f>
        <v/>
      </c>
    </row>
    <row r="2334">
      <c r="A2334" s="132"/>
      <c r="B2334" s="41"/>
      <c r="C2334" s="9"/>
      <c r="D2334" s="133"/>
      <c r="E2334" s="133"/>
      <c r="F2334" s="24"/>
      <c r="G2334" s="24"/>
      <c r="I2334" s="13" t="str">
        <f>IFERROR(__xludf.DUMMYFUNCTION("if(isblank(A2334),,split(A2334,""-""))"),"")</f>
        <v/>
      </c>
      <c r="K2334" s="13" t="str">
        <f>IFERROR(__xludf.DUMMYFUNCTION("if(isblank(B2334),,split(B2334,""-""))"),"")</f>
        <v/>
      </c>
    </row>
    <row r="2335">
      <c r="A2335" s="132"/>
      <c r="B2335" s="41"/>
      <c r="C2335" s="9"/>
      <c r="D2335" s="133"/>
      <c r="E2335" s="133"/>
      <c r="F2335" s="24"/>
      <c r="G2335" s="24"/>
      <c r="I2335" s="13" t="str">
        <f>IFERROR(__xludf.DUMMYFUNCTION("if(isblank(A2335),,split(A2335,""-""))"),"")</f>
        <v/>
      </c>
      <c r="K2335" s="13" t="str">
        <f>IFERROR(__xludf.DUMMYFUNCTION("if(isblank(B2335),,split(B2335,""-""))"),"")</f>
        <v/>
      </c>
    </row>
    <row r="2336">
      <c r="A2336" s="132"/>
      <c r="B2336" s="41"/>
      <c r="C2336" s="9"/>
      <c r="D2336" s="133"/>
      <c r="E2336" s="133"/>
      <c r="F2336" s="24"/>
      <c r="G2336" s="24"/>
      <c r="I2336" s="13" t="str">
        <f>IFERROR(__xludf.DUMMYFUNCTION("if(isblank(A2336),,split(A2336,""-""))"),"")</f>
        <v/>
      </c>
      <c r="K2336" s="13" t="str">
        <f>IFERROR(__xludf.DUMMYFUNCTION("if(isblank(B2336),,split(B2336,""-""))"),"")</f>
        <v/>
      </c>
    </row>
    <row r="2337">
      <c r="A2337" s="132"/>
      <c r="B2337" s="41"/>
      <c r="C2337" s="9"/>
      <c r="D2337" s="133"/>
      <c r="E2337" s="133"/>
      <c r="F2337" s="24"/>
      <c r="G2337" s="24"/>
      <c r="I2337" s="13" t="str">
        <f>IFERROR(__xludf.DUMMYFUNCTION("if(isblank(A2337),,split(A2337,""-""))"),"")</f>
        <v/>
      </c>
      <c r="K2337" s="13" t="str">
        <f>IFERROR(__xludf.DUMMYFUNCTION("if(isblank(B2337),,split(B2337,""-""))"),"")</f>
        <v/>
      </c>
    </row>
    <row r="2338">
      <c r="A2338" s="132"/>
      <c r="B2338" s="41"/>
      <c r="C2338" s="9"/>
      <c r="D2338" s="133"/>
      <c r="E2338" s="133"/>
      <c r="F2338" s="24"/>
      <c r="G2338" s="24"/>
      <c r="I2338" s="13" t="str">
        <f>IFERROR(__xludf.DUMMYFUNCTION("if(isblank(A2338),,split(A2338,""-""))"),"")</f>
        <v/>
      </c>
      <c r="K2338" s="13" t="str">
        <f>IFERROR(__xludf.DUMMYFUNCTION("if(isblank(B2338),,split(B2338,""-""))"),"")</f>
        <v/>
      </c>
    </row>
    <row r="2339">
      <c r="A2339" s="132"/>
      <c r="B2339" s="41"/>
      <c r="C2339" s="9"/>
      <c r="D2339" s="133"/>
      <c r="E2339" s="133"/>
      <c r="F2339" s="24"/>
      <c r="G2339" s="24"/>
      <c r="I2339" s="13" t="str">
        <f>IFERROR(__xludf.DUMMYFUNCTION("if(isblank(A2339),,split(A2339,""-""))"),"")</f>
        <v/>
      </c>
      <c r="K2339" s="13" t="str">
        <f>IFERROR(__xludf.DUMMYFUNCTION("if(isblank(B2339),,split(B2339,""-""))"),"")</f>
        <v/>
      </c>
    </row>
    <row r="2340">
      <c r="A2340" s="132"/>
      <c r="B2340" s="41"/>
      <c r="C2340" s="9"/>
      <c r="D2340" s="133"/>
      <c r="E2340" s="133"/>
      <c r="F2340" s="24"/>
      <c r="G2340" s="24"/>
      <c r="I2340" s="13" t="str">
        <f>IFERROR(__xludf.DUMMYFUNCTION("if(isblank(A2340),,split(A2340,""-""))"),"")</f>
        <v/>
      </c>
      <c r="K2340" s="13" t="str">
        <f>IFERROR(__xludf.DUMMYFUNCTION("if(isblank(B2340),,split(B2340,""-""))"),"")</f>
        <v/>
      </c>
    </row>
    <row r="2341">
      <c r="A2341" s="132"/>
      <c r="B2341" s="41"/>
      <c r="C2341" s="9"/>
      <c r="D2341" s="133"/>
      <c r="E2341" s="133"/>
      <c r="F2341" s="24"/>
      <c r="G2341" s="24"/>
      <c r="I2341" s="13" t="str">
        <f>IFERROR(__xludf.DUMMYFUNCTION("if(isblank(A2341),,split(A2341,""-""))"),"")</f>
        <v/>
      </c>
      <c r="K2341" s="13" t="str">
        <f>IFERROR(__xludf.DUMMYFUNCTION("if(isblank(B2341),,split(B2341,""-""))"),"")</f>
        <v/>
      </c>
    </row>
    <row r="2342">
      <c r="A2342" s="132"/>
      <c r="B2342" s="41"/>
      <c r="C2342" s="9"/>
      <c r="D2342" s="133"/>
      <c r="E2342" s="133"/>
      <c r="F2342" s="24"/>
      <c r="G2342" s="24"/>
      <c r="I2342" s="13" t="str">
        <f>IFERROR(__xludf.DUMMYFUNCTION("if(isblank(A2342),,split(A2342,""-""))"),"")</f>
        <v/>
      </c>
      <c r="K2342" s="13" t="str">
        <f>IFERROR(__xludf.DUMMYFUNCTION("if(isblank(B2342),,split(B2342,""-""))"),"")</f>
        <v/>
      </c>
    </row>
    <row r="2343">
      <c r="A2343" s="132"/>
      <c r="B2343" s="41"/>
      <c r="C2343" s="9"/>
      <c r="D2343" s="133"/>
      <c r="E2343" s="133"/>
      <c r="F2343" s="24"/>
      <c r="G2343" s="24"/>
      <c r="I2343" s="13" t="str">
        <f>IFERROR(__xludf.DUMMYFUNCTION("if(isblank(A2343),,split(A2343,""-""))"),"")</f>
        <v/>
      </c>
      <c r="K2343" s="13" t="str">
        <f>IFERROR(__xludf.DUMMYFUNCTION("if(isblank(B2343),,split(B2343,""-""))"),"")</f>
        <v/>
      </c>
    </row>
    <row r="2344">
      <c r="A2344" s="132"/>
      <c r="B2344" s="41"/>
      <c r="C2344" s="9"/>
      <c r="D2344" s="133"/>
      <c r="E2344" s="133"/>
      <c r="F2344" s="24"/>
      <c r="G2344" s="24"/>
      <c r="I2344" s="13" t="str">
        <f>IFERROR(__xludf.DUMMYFUNCTION("if(isblank(A2344),,split(A2344,""-""))"),"")</f>
        <v/>
      </c>
      <c r="K2344" s="13" t="str">
        <f>IFERROR(__xludf.DUMMYFUNCTION("if(isblank(B2344),,split(B2344,""-""))"),"")</f>
        <v/>
      </c>
    </row>
    <row r="2345">
      <c r="A2345" s="132"/>
      <c r="B2345" s="41"/>
      <c r="C2345" s="9"/>
      <c r="D2345" s="133"/>
      <c r="E2345" s="133"/>
      <c r="F2345" s="24"/>
      <c r="G2345" s="24"/>
      <c r="I2345" s="13" t="str">
        <f>IFERROR(__xludf.DUMMYFUNCTION("if(isblank(A2345),,split(A2345,""-""))"),"")</f>
        <v/>
      </c>
      <c r="K2345" s="13" t="str">
        <f>IFERROR(__xludf.DUMMYFUNCTION("if(isblank(B2345),,split(B2345,""-""))"),"")</f>
        <v/>
      </c>
    </row>
    <row r="2346">
      <c r="A2346" s="132"/>
      <c r="B2346" s="41"/>
      <c r="C2346" s="9"/>
      <c r="D2346" s="133"/>
      <c r="E2346" s="133"/>
      <c r="F2346" s="24"/>
      <c r="G2346" s="24"/>
      <c r="I2346" s="13" t="str">
        <f>IFERROR(__xludf.DUMMYFUNCTION("if(isblank(A2346),,split(A2346,""-""))"),"")</f>
        <v/>
      </c>
      <c r="K2346" s="13" t="str">
        <f>IFERROR(__xludf.DUMMYFUNCTION("if(isblank(B2346),,split(B2346,""-""))"),"")</f>
        <v/>
      </c>
    </row>
    <row r="2347">
      <c r="A2347" s="132"/>
      <c r="B2347" s="41"/>
      <c r="C2347" s="9"/>
      <c r="D2347" s="133"/>
      <c r="E2347" s="133"/>
      <c r="F2347" s="24"/>
      <c r="G2347" s="24"/>
      <c r="I2347" s="13" t="str">
        <f>IFERROR(__xludf.DUMMYFUNCTION("if(isblank(A2347),,split(A2347,""-""))"),"")</f>
        <v/>
      </c>
      <c r="K2347" s="13" t="str">
        <f>IFERROR(__xludf.DUMMYFUNCTION("if(isblank(B2347),,split(B2347,""-""))"),"")</f>
        <v/>
      </c>
    </row>
    <row r="2348">
      <c r="A2348" s="132"/>
      <c r="B2348" s="41"/>
      <c r="C2348" s="9"/>
      <c r="D2348" s="133"/>
      <c r="E2348" s="133"/>
      <c r="F2348" s="24"/>
      <c r="G2348" s="24"/>
      <c r="I2348" s="13" t="str">
        <f>IFERROR(__xludf.DUMMYFUNCTION("if(isblank(A2348),,split(A2348,""-""))"),"")</f>
        <v/>
      </c>
      <c r="K2348" s="13" t="str">
        <f>IFERROR(__xludf.DUMMYFUNCTION("if(isblank(B2348),,split(B2348,""-""))"),"")</f>
        <v/>
      </c>
    </row>
    <row r="2349">
      <c r="A2349" s="132"/>
      <c r="B2349" s="41"/>
      <c r="C2349" s="9"/>
      <c r="D2349" s="133"/>
      <c r="E2349" s="133"/>
      <c r="F2349" s="24"/>
      <c r="G2349" s="24"/>
      <c r="I2349" s="13" t="str">
        <f>IFERROR(__xludf.DUMMYFUNCTION("if(isblank(A2349),,split(A2349,""-""))"),"")</f>
        <v/>
      </c>
      <c r="K2349" s="13" t="str">
        <f>IFERROR(__xludf.DUMMYFUNCTION("if(isblank(B2349),,split(B2349,""-""))"),"")</f>
        <v/>
      </c>
    </row>
    <row r="2350">
      <c r="A2350" s="132"/>
      <c r="B2350" s="41"/>
      <c r="C2350" s="9"/>
      <c r="D2350" s="133"/>
      <c r="E2350" s="133"/>
      <c r="F2350" s="24"/>
      <c r="G2350" s="24"/>
      <c r="I2350" s="13" t="str">
        <f>IFERROR(__xludf.DUMMYFUNCTION("if(isblank(A2350),,split(A2350,""-""))"),"")</f>
        <v/>
      </c>
      <c r="K2350" s="13" t="str">
        <f>IFERROR(__xludf.DUMMYFUNCTION("if(isblank(B2350),,split(B2350,""-""))"),"")</f>
        <v/>
      </c>
    </row>
    <row r="2351">
      <c r="A2351" s="132"/>
      <c r="B2351" s="41"/>
      <c r="C2351" s="9"/>
      <c r="D2351" s="133"/>
      <c r="E2351" s="133"/>
      <c r="F2351" s="24"/>
      <c r="G2351" s="24"/>
      <c r="I2351" s="13" t="str">
        <f>IFERROR(__xludf.DUMMYFUNCTION("if(isblank(A2351),,split(A2351,""-""))"),"")</f>
        <v/>
      </c>
      <c r="K2351" s="13" t="str">
        <f>IFERROR(__xludf.DUMMYFUNCTION("if(isblank(B2351),,split(B2351,""-""))"),"")</f>
        <v/>
      </c>
    </row>
    <row r="2352">
      <c r="A2352" s="132"/>
      <c r="B2352" s="41"/>
      <c r="C2352" s="9"/>
      <c r="D2352" s="133"/>
      <c r="E2352" s="133"/>
      <c r="F2352" s="24"/>
      <c r="G2352" s="24"/>
      <c r="I2352" s="13" t="str">
        <f>IFERROR(__xludf.DUMMYFUNCTION("if(isblank(A2352),,split(A2352,""-""))"),"")</f>
        <v/>
      </c>
      <c r="K2352" s="13" t="str">
        <f>IFERROR(__xludf.DUMMYFUNCTION("if(isblank(B2352),,split(B2352,""-""))"),"")</f>
        <v/>
      </c>
    </row>
    <row r="2353">
      <c r="A2353" s="132"/>
      <c r="B2353" s="41"/>
      <c r="C2353" s="9"/>
      <c r="D2353" s="133"/>
      <c r="E2353" s="133"/>
      <c r="F2353" s="24"/>
      <c r="G2353" s="24"/>
      <c r="I2353" s="13" t="str">
        <f>IFERROR(__xludf.DUMMYFUNCTION("if(isblank(A2353),,split(A2353,""-""))"),"")</f>
        <v/>
      </c>
      <c r="K2353" s="13" t="str">
        <f>IFERROR(__xludf.DUMMYFUNCTION("if(isblank(B2353),,split(B2353,""-""))"),"")</f>
        <v/>
      </c>
    </row>
    <row r="2354">
      <c r="A2354" s="132"/>
      <c r="B2354" s="41"/>
      <c r="C2354" s="9"/>
      <c r="D2354" s="133"/>
      <c r="E2354" s="133"/>
      <c r="F2354" s="24"/>
      <c r="G2354" s="24"/>
      <c r="I2354" s="13" t="str">
        <f>IFERROR(__xludf.DUMMYFUNCTION("if(isblank(A2354),,split(A2354,""-""))"),"")</f>
        <v/>
      </c>
      <c r="K2354" s="13" t="str">
        <f>IFERROR(__xludf.DUMMYFUNCTION("if(isblank(B2354),,split(B2354,""-""))"),"")</f>
        <v/>
      </c>
    </row>
    <row r="2355">
      <c r="A2355" s="132"/>
      <c r="B2355" s="41"/>
      <c r="C2355" s="9"/>
      <c r="D2355" s="133"/>
      <c r="E2355" s="133"/>
      <c r="F2355" s="24"/>
      <c r="G2355" s="24"/>
      <c r="I2355" s="13" t="str">
        <f>IFERROR(__xludf.DUMMYFUNCTION("if(isblank(A2355),,split(A2355,""-""))"),"")</f>
        <v/>
      </c>
      <c r="K2355" s="13" t="str">
        <f>IFERROR(__xludf.DUMMYFUNCTION("if(isblank(B2355),,split(B2355,""-""))"),"")</f>
        <v/>
      </c>
    </row>
    <row r="2356">
      <c r="A2356" s="132"/>
      <c r="B2356" s="41"/>
      <c r="C2356" s="9"/>
      <c r="D2356" s="133"/>
      <c r="E2356" s="133"/>
      <c r="F2356" s="24"/>
      <c r="G2356" s="24"/>
      <c r="I2356" s="13" t="str">
        <f>IFERROR(__xludf.DUMMYFUNCTION("if(isblank(A2356),,split(A2356,""-""))"),"")</f>
        <v/>
      </c>
      <c r="K2356" s="13" t="str">
        <f>IFERROR(__xludf.DUMMYFUNCTION("if(isblank(B2356),,split(B2356,""-""))"),"")</f>
        <v/>
      </c>
    </row>
    <row r="2357">
      <c r="A2357" s="132"/>
      <c r="B2357" s="41"/>
      <c r="C2357" s="9"/>
      <c r="D2357" s="133"/>
      <c r="E2357" s="133"/>
      <c r="F2357" s="24"/>
      <c r="G2357" s="24"/>
      <c r="I2357" s="13" t="str">
        <f>IFERROR(__xludf.DUMMYFUNCTION("if(isblank(A2357),,split(A2357,""-""))"),"")</f>
        <v/>
      </c>
      <c r="K2357" s="13" t="str">
        <f>IFERROR(__xludf.DUMMYFUNCTION("if(isblank(B2357),,split(B2357,""-""))"),"")</f>
        <v/>
      </c>
    </row>
    <row r="2358">
      <c r="A2358" s="132"/>
      <c r="B2358" s="41"/>
      <c r="C2358" s="9"/>
      <c r="D2358" s="133"/>
      <c r="E2358" s="133"/>
      <c r="F2358" s="24"/>
      <c r="G2358" s="24"/>
      <c r="I2358" s="13" t="str">
        <f>IFERROR(__xludf.DUMMYFUNCTION("if(isblank(A2358),,split(A2358,""-""))"),"")</f>
        <v/>
      </c>
      <c r="K2358" s="13" t="str">
        <f>IFERROR(__xludf.DUMMYFUNCTION("if(isblank(B2358),,split(B2358,""-""))"),"")</f>
        <v/>
      </c>
    </row>
    <row r="2359">
      <c r="A2359" s="132"/>
      <c r="B2359" s="41"/>
      <c r="C2359" s="9"/>
      <c r="D2359" s="133"/>
      <c r="E2359" s="133"/>
      <c r="F2359" s="24"/>
      <c r="G2359" s="24"/>
      <c r="I2359" s="13" t="str">
        <f>IFERROR(__xludf.DUMMYFUNCTION("if(isblank(A2359),,split(A2359,""-""))"),"")</f>
        <v/>
      </c>
      <c r="K2359" s="13" t="str">
        <f>IFERROR(__xludf.DUMMYFUNCTION("if(isblank(B2359),,split(B2359,""-""))"),"")</f>
        <v/>
      </c>
    </row>
    <row r="2360">
      <c r="A2360" s="132"/>
      <c r="B2360" s="41"/>
      <c r="C2360" s="9"/>
      <c r="D2360" s="133"/>
      <c r="E2360" s="133"/>
      <c r="F2360" s="24"/>
      <c r="G2360" s="24"/>
      <c r="I2360" s="13" t="str">
        <f>IFERROR(__xludf.DUMMYFUNCTION("if(isblank(A2360),,split(A2360,""-""))"),"")</f>
        <v/>
      </c>
      <c r="K2360" s="13" t="str">
        <f>IFERROR(__xludf.DUMMYFUNCTION("if(isblank(B2360),,split(B2360,""-""))"),"")</f>
        <v/>
      </c>
    </row>
    <row r="2361">
      <c r="A2361" s="132"/>
      <c r="B2361" s="41"/>
      <c r="C2361" s="9"/>
      <c r="D2361" s="133"/>
      <c r="E2361" s="133"/>
      <c r="F2361" s="24"/>
      <c r="G2361" s="24"/>
      <c r="I2361" s="13" t="str">
        <f>IFERROR(__xludf.DUMMYFUNCTION("if(isblank(A2361),,split(A2361,""-""))"),"")</f>
        <v/>
      </c>
      <c r="K2361" s="13" t="str">
        <f>IFERROR(__xludf.DUMMYFUNCTION("if(isblank(B2361),,split(B2361,""-""))"),"")</f>
        <v/>
      </c>
    </row>
    <row r="2362">
      <c r="A2362" s="132"/>
      <c r="B2362" s="41"/>
      <c r="C2362" s="9"/>
      <c r="D2362" s="133"/>
      <c r="E2362" s="133"/>
      <c r="F2362" s="24"/>
      <c r="G2362" s="24"/>
      <c r="I2362" s="13" t="str">
        <f>IFERROR(__xludf.DUMMYFUNCTION("if(isblank(A2362),,split(A2362,""-""))"),"")</f>
        <v/>
      </c>
      <c r="K2362" s="13" t="str">
        <f>IFERROR(__xludf.DUMMYFUNCTION("if(isblank(B2362),,split(B2362,""-""))"),"")</f>
        <v/>
      </c>
    </row>
    <row r="2363">
      <c r="A2363" s="132"/>
      <c r="B2363" s="41"/>
      <c r="C2363" s="9"/>
      <c r="D2363" s="133"/>
      <c r="E2363" s="133"/>
      <c r="F2363" s="24"/>
      <c r="G2363" s="24"/>
      <c r="I2363" s="13" t="str">
        <f>IFERROR(__xludf.DUMMYFUNCTION("if(isblank(A2363),,split(A2363,""-""))"),"")</f>
        <v/>
      </c>
      <c r="K2363" s="13" t="str">
        <f>IFERROR(__xludf.DUMMYFUNCTION("if(isblank(B2363),,split(B2363,""-""))"),"")</f>
        <v/>
      </c>
    </row>
    <row r="2364">
      <c r="A2364" s="132"/>
      <c r="B2364" s="41"/>
      <c r="C2364" s="9"/>
      <c r="D2364" s="133"/>
      <c r="E2364" s="133"/>
      <c r="F2364" s="24"/>
      <c r="G2364" s="24"/>
      <c r="I2364" s="13" t="str">
        <f>IFERROR(__xludf.DUMMYFUNCTION("if(isblank(A2364),,split(A2364,""-""))"),"")</f>
        <v/>
      </c>
      <c r="K2364" s="13" t="str">
        <f>IFERROR(__xludf.DUMMYFUNCTION("if(isblank(B2364),,split(B2364,""-""))"),"")</f>
        <v/>
      </c>
    </row>
    <row r="2365">
      <c r="A2365" s="132"/>
      <c r="B2365" s="41"/>
      <c r="C2365" s="9"/>
      <c r="D2365" s="133"/>
      <c r="E2365" s="133"/>
      <c r="F2365" s="24"/>
      <c r="G2365" s="24"/>
      <c r="I2365" s="13" t="str">
        <f>IFERROR(__xludf.DUMMYFUNCTION("if(isblank(A2365),,split(A2365,""-""))"),"")</f>
        <v/>
      </c>
      <c r="K2365" s="13" t="str">
        <f>IFERROR(__xludf.DUMMYFUNCTION("if(isblank(B2365),,split(B2365,""-""))"),"")</f>
        <v/>
      </c>
    </row>
    <row r="2366">
      <c r="A2366" s="132"/>
      <c r="B2366" s="41"/>
      <c r="C2366" s="9"/>
      <c r="D2366" s="133"/>
      <c r="E2366" s="133"/>
      <c r="F2366" s="24"/>
      <c r="G2366" s="24"/>
      <c r="I2366" s="13" t="str">
        <f>IFERROR(__xludf.DUMMYFUNCTION("if(isblank(A2366),,split(A2366,""-""))"),"")</f>
        <v/>
      </c>
      <c r="K2366" s="13" t="str">
        <f>IFERROR(__xludf.DUMMYFUNCTION("if(isblank(B2366),,split(B2366,""-""))"),"")</f>
        <v/>
      </c>
    </row>
    <row r="2367">
      <c r="A2367" s="132"/>
      <c r="B2367" s="41"/>
      <c r="C2367" s="9"/>
      <c r="D2367" s="133"/>
      <c r="E2367" s="133"/>
      <c r="F2367" s="24"/>
      <c r="G2367" s="24"/>
      <c r="I2367" s="13" t="str">
        <f>IFERROR(__xludf.DUMMYFUNCTION("if(isblank(A2367),,split(A2367,""-""))"),"")</f>
        <v/>
      </c>
      <c r="K2367" s="13" t="str">
        <f>IFERROR(__xludf.DUMMYFUNCTION("if(isblank(B2367),,split(B2367,""-""))"),"")</f>
        <v/>
      </c>
    </row>
    <row r="2368">
      <c r="A2368" s="132"/>
      <c r="B2368" s="41"/>
      <c r="C2368" s="9"/>
      <c r="D2368" s="133"/>
      <c r="E2368" s="133"/>
      <c r="F2368" s="24"/>
      <c r="G2368" s="24"/>
      <c r="I2368" s="13" t="str">
        <f>IFERROR(__xludf.DUMMYFUNCTION("if(isblank(A2368),,split(A2368,""-""))"),"")</f>
        <v/>
      </c>
      <c r="K2368" s="13" t="str">
        <f>IFERROR(__xludf.DUMMYFUNCTION("if(isblank(B2368),,split(B2368,""-""))"),"")</f>
        <v/>
      </c>
    </row>
    <row r="2369">
      <c r="A2369" s="132"/>
      <c r="B2369" s="41"/>
      <c r="C2369" s="9"/>
      <c r="D2369" s="133"/>
      <c r="E2369" s="133"/>
      <c r="F2369" s="24"/>
      <c r="G2369" s="24"/>
      <c r="I2369" s="13" t="str">
        <f>IFERROR(__xludf.DUMMYFUNCTION("if(isblank(A2369),,split(A2369,""-""))"),"")</f>
        <v/>
      </c>
      <c r="K2369" s="13" t="str">
        <f>IFERROR(__xludf.DUMMYFUNCTION("if(isblank(B2369),,split(B2369,""-""))"),"")</f>
        <v/>
      </c>
    </row>
    <row r="2370">
      <c r="A2370" s="132"/>
      <c r="B2370" s="41"/>
      <c r="C2370" s="9"/>
      <c r="D2370" s="133"/>
      <c r="E2370" s="133"/>
      <c r="F2370" s="24"/>
      <c r="G2370" s="24"/>
      <c r="I2370" s="13" t="str">
        <f>IFERROR(__xludf.DUMMYFUNCTION("if(isblank(A2370),,split(A2370,""-""))"),"")</f>
        <v/>
      </c>
      <c r="K2370" s="13" t="str">
        <f>IFERROR(__xludf.DUMMYFUNCTION("if(isblank(B2370),,split(B2370,""-""))"),"")</f>
        <v/>
      </c>
    </row>
    <row r="2371">
      <c r="A2371" s="132"/>
      <c r="B2371" s="41"/>
      <c r="C2371" s="9"/>
      <c r="D2371" s="133"/>
      <c r="E2371" s="133"/>
      <c r="F2371" s="24"/>
      <c r="G2371" s="24"/>
      <c r="I2371" s="13" t="str">
        <f>IFERROR(__xludf.DUMMYFUNCTION("if(isblank(A2371),,split(A2371,""-""))"),"")</f>
        <v/>
      </c>
      <c r="K2371" s="13" t="str">
        <f>IFERROR(__xludf.DUMMYFUNCTION("if(isblank(B2371),,split(B2371,""-""))"),"")</f>
        <v/>
      </c>
    </row>
    <row r="2372">
      <c r="A2372" s="132"/>
      <c r="B2372" s="41"/>
      <c r="C2372" s="9"/>
      <c r="D2372" s="133"/>
      <c r="E2372" s="133"/>
      <c r="F2372" s="24"/>
      <c r="G2372" s="24"/>
      <c r="I2372" s="13" t="str">
        <f>IFERROR(__xludf.DUMMYFUNCTION("if(isblank(A2372),,split(A2372,""-""))"),"")</f>
        <v/>
      </c>
      <c r="K2372" s="13" t="str">
        <f>IFERROR(__xludf.DUMMYFUNCTION("if(isblank(B2372),,split(B2372,""-""))"),"")</f>
        <v/>
      </c>
    </row>
    <row r="2373">
      <c r="A2373" s="132"/>
      <c r="B2373" s="41"/>
      <c r="C2373" s="9"/>
      <c r="D2373" s="133"/>
      <c r="E2373" s="133"/>
      <c r="F2373" s="24"/>
      <c r="G2373" s="24"/>
      <c r="I2373" s="13" t="str">
        <f>IFERROR(__xludf.DUMMYFUNCTION("if(isblank(A2373),,split(A2373,""-""))"),"")</f>
        <v/>
      </c>
      <c r="K2373" s="13" t="str">
        <f>IFERROR(__xludf.DUMMYFUNCTION("if(isblank(B2373),,split(B2373,""-""))"),"")</f>
        <v/>
      </c>
    </row>
    <row r="2374">
      <c r="A2374" s="132"/>
      <c r="B2374" s="41"/>
      <c r="C2374" s="9"/>
      <c r="D2374" s="133"/>
      <c r="E2374" s="133"/>
      <c r="F2374" s="24"/>
      <c r="G2374" s="24"/>
      <c r="I2374" s="13" t="str">
        <f>IFERROR(__xludf.DUMMYFUNCTION("if(isblank(A2374),,split(A2374,""-""))"),"")</f>
        <v/>
      </c>
      <c r="K2374" s="13" t="str">
        <f>IFERROR(__xludf.DUMMYFUNCTION("if(isblank(B2374),,split(B2374,""-""))"),"")</f>
        <v/>
      </c>
    </row>
    <row r="2375">
      <c r="A2375" s="132"/>
      <c r="B2375" s="41"/>
      <c r="C2375" s="9"/>
      <c r="D2375" s="133"/>
      <c r="E2375" s="133"/>
      <c r="F2375" s="24"/>
      <c r="G2375" s="24"/>
      <c r="I2375" s="13" t="str">
        <f>IFERROR(__xludf.DUMMYFUNCTION("if(isblank(A2375),,split(A2375,""-""))"),"")</f>
        <v/>
      </c>
      <c r="K2375" s="13" t="str">
        <f>IFERROR(__xludf.DUMMYFUNCTION("if(isblank(B2375),,split(B2375,""-""))"),"")</f>
        <v/>
      </c>
    </row>
    <row r="2376">
      <c r="A2376" s="132"/>
      <c r="B2376" s="41"/>
      <c r="C2376" s="9"/>
      <c r="D2376" s="133"/>
      <c r="E2376" s="133"/>
      <c r="F2376" s="24"/>
      <c r="G2376" s="24"/>
      <c r="I2376" s="13" t="str">
        <f>IFERROR(__xludf.DUMMYFUNCTION("if(isblank(A2376),,split(A2376,""-""))"),"")</f>
        <v/>
      </c>
      <c r="K2376" s="13" t="str">
        <f>IFERROR(__xludf.DUMMYFUNCTION("if(isblank(B2376),,split(B2376,""-""))"),"")</f>
        <v/>
      </c>
    </row>
    <row r="2377">
      <c r="A2377" s="132"/>
      <c r="B2377" s="41"/>
      <c r="C2377" s="9"/>
      <c r="D2377" s="133"/>
      <c r="E2377" s="133"/>
      <c r="F2377" s="24"/>
      <c r="G2377" s="24"/>
      <c r="I2377" s="13" t="str">
        <f>IFERROR(__xludf.DUMMYFUNCTION("if(isblank(A2377),,split(A2377,""-""))"),"")</f>
        <v/>
      </c>
      <c r="K2377" s="13" t="str">
        <f>IFERROR(__xludf.DUMMYFUNCTION("if(isblank(B2377),,split(B2377,""-""))"),"")</f>
        <v/>
      </c>
    </row>
    <row r="2378">
      <c r="A2378" s="132"/>
      <c r="B2378" s="41"/>
      <c r="C2378" s="9"/>
      <c r="D2378" s="133"/>
      <c r="E2378" s="133"/>
      <c r="F2378" s="24"/>
      <c r="G2378" s="24"/>
      <c r="I2378" s="13" t="str">
        <f>IFERROR(__xludf.DUMMYFUNCTION("if(isblank(A2378),,split(A2378,""-""))"),"")</f>
        <v/>
      </c>
      <c r="K2378" s="13" t="str">
        <f>IFERROR(__xludf.DUMMYFUNCTION("if(isblank(B2378),,split(B2378,""-""))"),"")</f>
        <v/>
      </c>
    </row>
    <row r="2379">
      <c r="A2379" s="132"/>
      <c r="B2379" s="41"/>
      <c r="C2379" s="9"/>
      <c r="D2379" s="133"/>
      <c r="E2379" s="133"/>
      <c r="F2379" s="24"/>
      <c r="G2379" s="24"/>
      <c r="I2379" s="13" t="str">
        <f>IFERROR(__xludf.DUMMYFUNCTION("if(isblank(A2379),,split(A2379,""-""))"),"")</f>
        <v/>
      </c>
      <c r="K2379" s="13" t="str">
        <f>IFERROR(__xludf.DUMMYFUNCTION("if(isblank(B2379),,split(B2379,""-""))"),"")</f>
        <v/>
      </c>
    </row>
    <row r="2380">
      <c r="A2380" s="132"/>
      <c r="B2380" s="41"/>
      <c r="C2380" s="9"/>
      <c r="D2380" s="133"/>
      <c r="E2380" s="133"/>
      <c r="F2380" s="24"/>
      <c r="G2380" s="24"/>
      <c r="I2380" s="13" t="str">
        <f>IFERROR(__xludf.DUMMYFUNCTION("if(isblank(A2380),,split(A2380,""-""))"),"")</f>
        <v/>
      </c>
      <c r="K2380" s="13" t="str">
        <f>IFERROR(__xludf.DUMMYFUNCTION("if(isblank(B2380),,split(B2380,""-""))"),"")</f>
        <v/>
      </c>
    </row>
    <row r="2381">
      <c r="A2381" s="132"/>
      <c r="B2381" s="41"/>
      <c r="C2381" s="9"/>
      <c r="D2381" s="133"/>
      <c r="E2381" s="133"/>
      <c r="F2381" s="24"/>
      <c r="G2381" s="24"/>
      <c r="I2381" s="13" t="str">
        <f>IFERROR(__xludf.DUMMYFUNCTION("if(isblank(A2381),,split(A2381,""-""))"),"")</f>
        <v/>
      </c>
      <c r="K2381" s="13" t="str">
        <f>IFERROR(__xludf.DUMMYFUNCTION("if(isblank(B2381),,split(B2381,""-""))"),"")</f>
        <v/>
      </c>
    </row>
    <row r="2382">
      <c r="A2382" s="132"/>
      <c r="B2382" s="41"/>
      <c r="C2382" s="9"/>
      <c r="D2382" s="133"/>
      <c r="E2382" s="133"/>
      <c r="F2382" s="24"/>
      <c r="G2382" s="24"/>
      <c r="I2382" s="13" t="str">
        <f>IFERROR(__xludf.DUMMYFUNCTION("if(isblank(A2382),,split(A2382,""-""))"),"")</f>
        <v/>
      </c>
      <c r="K2382" s="13" t="str">
        <f>IFERROR(__xludf.DUMMYFUNCTION("if(isblank(B2382),,split(B2382,""-""))"),"")</f>
        <v/>
      </c>
    </row>
    <row r="2383">
      <c r="A2383" s="132"/>
      <c r="B2383" s="41"/>
      <c r="C2383" s="9"/>
      <c r="D2383" s="133"/>
      <c r="E2383" s="133"/>
      <c r="F2383" s="24"/>
      <c r="G2383" s="24"/>
      <c r="I2383" s="13" t="str">
        <f>IFERROR(__xludf.DUMMYFUNCTION("if(isblank(A2383),,split(A2383,""-""))"),"")</f>
        <v/>
      </c>
      <c r="K2383" s="13" t="str">
        <f>IFERROR(__xludf.DUMMYFUNCTION("if(isblank(B2383),,split(B2383,""-""))"),"")</f>
        <v/>
      </c>
    </row>
    <row r="2384">
      <c r="A2384" s="132"/>
      <c r="B2384" s="41"/>
      <c r="C2384" s="9"/>
      <c r="D2384" s="133"/>
      <c r="E2384" s="133"/>
      <c r="F2384" s="24"/>
      <c r="G2384" s="24"/>
      <c r="I2384" s="13" t="str">
        <f>IFERROR(__xludf.DUMMYFUNCTION("if(isblank(A2384),,split(A2384,""-""))"),"")</f>
        <v/>
      </c>
      <c r="K2384" s="13" t="str">
        <f>IFERROR(__xludf.DUMMYFUNCTION("if(isblank(B2384),,split(B2384,""-""))"),"")</f>
        <v/>
      </c>
    </row>
    <row r="2385">
      <c r="A2385" s="132"/>
      <c r="B2385" s="41"/>
      <c r="C2385" s="9"/>
      <c r="D2385" s="133"/>
      <c r="E2385" s="133"/>
      <c r="F2385" s="24"/>
      <c r="G2385" s="24"/>
      <c r="I2385" s="13" t="str">
        <f>IFERROR(__xludf.DUMMYFUNCTION("if(isblank(A2385),,split(A2385,""-""))"),"")</f>
        <v/>
      </c>
      <c r="K2385" s="13" t="str">
        <f>IFERROR(__xludf.DUMMYFUNCTION("if(isblank(B2385),,split(B2385,""-""))"),"")</f>
        <v/>
      </c>
    </row>
    <row r="2386">
      <c r="A2386" s="132"/>
      <c r="B2386" s="41"/>
      <c r="C2386" s="9"/>
      <c r="D2386" s="133"/>
      <c r="E2386" s="133"/>
      <c r="F2386" s="24"/>
      <c r="G2386" s="24"/>
      <c r="I2386" s="13" t="str">
        <f>IFERROR(__xludf.DUMMYFUNCTION("if(isblank(A2386),,split(A2386,""-""))"),"")</f>
        <v/>
      </c>
      <c r="K2386" s="13" t="str">
        <f>IFERROR(__xludf.DUMMYFUNCTION("if(isblank(B2386),,split(B2386,""-""))"),"")</f>
        <v/>
      </c>
    </row>
    <row r="2387">
      <c r="A2387" s="132"/>
      <c r="B2387" s="41"/>
      <c r="C2387" s="9"/>
      <c r="D2387" s="133"/>
      <c r="E2387" s="133"/>
      <c r="F2387" s="24"/>
      <c r="G2387" s="24"/>
      <c r="I2387" s="13" t="str">
        <f>IFERROR(__xludf.DUMMYFUNCTION("if(isblank(A2387),,split(A2387,""-""))"),"")</f>
        <v/>
      </c>
      <c r="K2387" s="13" t="str">
        <f>IFERROR(__xludf.DUMMYFUNCTION("if(isblank(B2387),,split(B2387,""-""))"),"")</f>
        <v/>
      </c>
    </row>
    <row r="2388">
      <c r="A2388" s="132"/>
      <c r="B2388" s="41"/>
      <c r="C2388" s="9"/>
      <c r="D2388" s="133"/>
      <c r="E2388" s="133"/>
      <c r="F2388" s="24"/>
      <c r="G2388" s="24"/>
      <c r="I2388" s="13" t="str">
        <f>IFERROR(__xludf.DUMMYFUNCTION("if(isblank(A2388),,split(A2388,""-""))"),"")</f>
        <v/>
      </c>
      <c r="K2388" s="13" t="str">
        <f>IFERROR(__xludf.DUMMYFUNCTION("if(isblank(B2388),,split(B2388,""-""))"),"")</f>
        <v/>
      </c>
    </row>
    <row r="2389">
      <c r="A2389" s="132"/>
      <c r="B2389" s="41"/>
      <c r="C2389" s="9"/>
      <c r="D2389" s="133"/>
      <c r="E2389" s="133"/>
      <c r="F2389" s="24"/>
      <c r="G2389" s="24"/>
      <c r="I2389" s="13" t="str">
        <f>IFERROR(__xludf.DUMMYFUNCTION("if(isblank(A2389),,split(A2389,""-""))"),"")</f>
        <v/>
      </c>
      <c r="K2389" s="13" t="str">
        <f>IFERROR(__xludf.DUMMYFUNCTION("if(isblank(B2389),,split(B2389,""-""))"),"")</f>
        <v/>
      </c>
    </row>
    <row r="2390">
      <c r="A2390" s="132"/>
      <c r="B2390" s="41"/>
      <c r="C2390" s="9"/>
      <c r="D2390" s="133"/>
      <c r="E2390" s="133"/>
      <c r="F2390" s="24"/>
      <c r="G2390" s="24"/>
      <c r="I2390" s="13" t="str">
        <f>IFERROR(__xludf.DUMMYFUNCTION("if(isblank(A2390),,split(A2390,""-""))"),"")</f>
        <v/>
      </c>
      <c r="K2390" s="13" t="str">
        <f>IFERROR(__xludf.DUMMYFUNCTION("if(isblank(B2390),,split(B2390,""-""))"),"")</f>
        <v/>
      </c>
    </row>
    <row r="2391">
      <c r="A2391" s="132"/>
      <c r="B2391" s="41"/>
      <c r="C2391" s="9"/>
      <c r="D2391" s="133"/>
      <c r="E2391" s="133"/>
      <c r="F2391" s="24"/>
      <c r="G2391" s="24"/>
      <c r="I2391" s="13" t="str">
        <f>IFERROR(__xludf.DUMMYFUNCTION("if(isblank(A2391),,split(A2391,""-""))"),"")</f>
        <v/>
      </c>
      <c r="K2391" s="13" t="str">
        <f>IFERROR(__xludf.DUMMYFUNCTION("if(isblank(B2391),,split(B2391,""-""))"),"")</f>
        <v/>
      </c>
    </row>
    <row r="2392">
      <c r="A2392" s="132"/>
      <c r="B2392" s="41"/>
      <c r="C2392" s="9"/>
      <c r="D2392" s="133"/>
      <c r="E2392" s="133"/>
      <c r="F2392" s="24"/>
      <c r="G2392" s="24"/>
      <c r="I2392" s="13" t="str">
        <f>IFERROR(__xludf.DUMMYFUNCTION("if(isblank(A2392),,split(A2392,""-""))"),"")</f>
        <v/>
      </c>
      <c r="K2392" s="13" t="str">
        <f>IFERROR(__xludf.DUMMYFUNCTION("if(isblank(B2392),,split(B2392,""-""))"),"")</f>
        <v/>
      </c>
    </row>
    <row r="2393">
      <c r="A2393" s="132"/>
      <c r="B2393" s="41"/>
      <c r="C2393" s="9"/>
      <c r="D2393" s="133"/>
      <c r="E2393" s="133"/>
      <c r="F2393" s="24"/>
      <c r="G2393" s="24"/>
      <c r="I2393" s="13" t="str">
        <f>IFERROR(__xludf.DUMMYFUNCTION("if(isblank(A2393),,split(A2393,""-""))"),"")</f>
        <v/>
      </c>
      <c r="K2393" s="13" t="str">
        <f>IFERROR(__xludf.DUMMYFUNCTION("if(isblank(B2393),,split(B2393,""-""))"),"")</f>
        <v/>
      </c>
    </row>
    <row r="2394">
      <c r="A2394" s="132"/>
      <c r="B2394" s="41"/>
      <c r="C2394" s="9"/>
      <c r="D2394" s="133"/>
      <c r="E2394" s="133"/>
      <c r="F2394" s="24"/>
      <c r="G2394" s="24"/>
      <c r="I2394" s="13" t="str">
        <f>IFERROR(__xludf.DUMMYFUNCTION("if(isblank(A2394),,split(A2394,""-""))"),"")</f>
        <v/>
      </c>
      <c r="K2394" s="13" t="str">
        <f>IFERROR(__xludf.DUMMYFUNCTION("if(isblank(B2394),,split(B2394,""-""))"),"")</f>
        <v/>
      </c>
    </row>
    <row r="2395">
      <c r="A2395" s="132"/>
      <c r="B2395" s="41"/>
      <c r="C2395" s="9"/>
      <c r="D2395" s="133"/>
      <c r="E2395" s="133"/>
      <c r="F2395" s="24"/>
      <c r="G2395" s="24"/>
      <c r="I2395" s="13" t="str">
        <f>IFERROR(__xludf.DUMMYFUNCTION("if(isblank(A2395),,split(A2395,""-""))"),"")</f>
        <v/>
      </c>
      <c r="K2395" s="13" t="str">
        <f>IFERROR(__xludf.DUMMYFUNCTION("if(isblank(B2395),,split(B2395,""-""))"),"")</f>
        <v/>
      </c>
    </row>
    <row r="2396">
      <c r="A2396" s="132"/>
      <c r="B2396" s="41"/>
      <c r="C2396" s="9"/>
      <c r="D2396" s="133"/>
      <c r="E2396" s="133"/>
      <c r="F2396" s="24"/>
      <c r="G2396" s="24"/>
      <c r="I2396" s="13" t="str">
        <f>IFERROR(__xludf.DUMMYFUNCTION("if(isblank(A2396),,split(A2396,""-""))"),"")</f>
        <v/>
      </c>
      <c r="K2396" s="13" t="str">
        <f>IFERROR(__xludf.DUMMYFUNCTION("if(isblank(B2396),,split(B2396,""-""))"),"")</f>
        <v/>
      </c>
    </row>
    <row r="2397">
      <c r="A2397" s="132"/>
      <c r="B2397" s="41"/>
      <c r="C2397" s="9"/>
      <c r="D2397" s="133"/>
      <c r="E2397" s="133"/>
      <c r="F2397" s="24"/>
      <c r="G2397" s="24"/>
      <c r="I2397" s="13" t="str">
        <f>IFERROR(__xludf.DUMMYFUNCTION("if(isblank(A2397),,split(A2397,""-""))"),"")</f>
        <v/>
      </c>
      <c r="K2397" s="13" t="str">
        <f>IFERROR(__xludf.DUMMYFUNCTION("if(isblank(B2397),,split(B2397,""-""))"),"")</f>
        <v/>
      </c>
    </row>
    <row r="2398">
      <c r="A2398" s="132"/>
      <c r="B2398" s="41"/>
      <c r="C2398" s="9"/>
      <c r="D2398" s="133"/>
      <c r="E2398" s="133"/>
      <c r="F2398" s="24"/>
      <c r="G2398" s="24"/>
      <c r="I2398" s="13" t="str">
        <f>IFERROR(__xludf.DUMMYFUNCTION("if(isblank(A2398),,split(A2398,""-""))"),"")</f>
        <v/>
      </c>
      <c r="K2398" s="13" t="str">
        <f>IFERROR(__xludf.DUMMYFUNCTION("if(isblank(B2398),,split(B2398,""-""))"),"")</f>
        <v/>
      </c>
    </row>
    <row r="2399">
      <c r="A2399" s="132"/>
      <c r="B2399" s="41"/>
      <c r="C2399" s="9"/>
      <c r="D2399" s="133"/>
      <c r="E2399" s="133"/>
      <c r="F2399" s="24"/>
      <c r="G2399" s="24"/>
      <c r="I2399" s="13" t="str">
        <f>IFERROR(__xludf.DUMMYFUNCTION("if(isblank(A2399),,split(A2399,""-""))"),"")</f>
        <v/>
      </c>
      <c r="K2399" s="13" t="str">
        <f>IFERROR(__xludf.DUMMYFUNCTION("if(isblank(B2399),,split(B2399,""-""))"),"")</f>
        <v/>
      </c>
    </row>
    <row r="2400">
      <c r="A2400" s="132"/>
      <c r="B2400" s="41"/>
      <c r="C2400" s="9"/>
      <c r="D2400" s="133"/>
      <c r="E2400" s="133"/>
      <c r="F2400" s="24"/>
      <c r="G2400" s="24"/>
      <c r="I2400" s="13" t="str">
        <f>IFERROR(__xludf.DUMMYFUNCTION("if(isblank(A2400),,split(A2400,""-""))"),"")</f>
        <v/>
      </c>
      <c r="K2400" s="13" t="str">
        <f>IFERROR(__xludf.DUMMYFUNCTION("if(isblank(B2400),,split(B2400,""-""))"),"")</f>
        <v/>
      </c>
    </row>
    <row r="2401">
      <c r="A2401" s="132"/>
      <c r="B2401" s="41"/>
      <c r="C2401" s="9"/>
      <c r="D2401" s="133"/>
      <c r="E2401" s="133"/>
      <c r="F2401" s="24"/>
      <c r="G2401" s="24"/>
      <c r="I2401" s="13" t="str">
        <f>IFERROR(__xludf.DUMMYFUNCTION("if(isblank(A2401),,split(A2401,""-""))"),"")</f>
        <v/>
      </c>
      <c r="K2401" s="13" t="str">
        <f>IFERROR(__xludf.DUMMYFUNCTION("if(isblank(B2401),,split(B2401,""-""))"),"")</f>
        <v/>
      </c>
    </row>
    <row r="2402">
      <c r="A2402" s="132"/>
      <c r="B2402" s="41"/>
      <c r="C2402" s="9"/>
      <c r="D2402" s="133"/>
      <c r="E2402" s="133"/>
      <c r="F2402" s="24"/>
      <c r="G2402" s="24"/>
      <c r="I2402" s="13" t="str">
        <f>IFERROR(__xludf.DUMMYFUNCTION("if(isblank(A2402),,split(A2402,""-""))"),"")</f>
        <v/>
      </c>
      <c r="K2402" s="13" t="str">
        <f>IFERROR(__xludf.DUMMYFUNCTION("if(isblank(B2402),,split(B2402,""-""))"),"")</f>
        <v/>
      </c>
    </row>
    <row r="2403">
      <c r="A2403" s="132"/>
      <c r="B2403" s="41"/>
      <c r="C2403" s="9"/>
      <c r="D2403" s="133"/>
      <c r="E2403" s="133"/>
      <c r="F2403" s="24"/>
      <c r="G2403" s="24"/>
      <c r="I2403" s="13" t="str">
        <f>IFERROR(__xludf.DUMMYFUNCTION("if(isblank(A2403),,split(A2403,""-""))"),"")</f>
        <v/>
      </c>
      <c r="K2403" s="13" t="str">
        <f>IFERROR(__xludf.DUMMYFUNCTION("if(isblank(B2403),,split(B2403,""-""))"),"")</f>
        <v/>
      </c>
    </row>
    <row r="2404">
      <c r="A2404" s="132"/>
      <c r="B2404" s="41"/>
      <c r="C2404" s="9"/>
      <c r="D2404" s="133"/>
      <c r="E2404" s="133"/>
      <c r="F2404" s="24"/>
      <c r="G2404" s="24"/>
      <c r="I2404" s="13" t="str">
        <f>IFERROR(__xludf.DUMMYFUNCTION("if(isblank(A2404),,split(A2404,""-""))"),"")</f>
        <v/>
      </c>
      <c r="K2404" s="13" t="str">
        <f>IFERROR(__xludf.DUMMYFUNCTION("if(isblank(B2404),,split(B2404,""-""))"),"")</f>
        <v/>
      </c>
    </row>
    <row r="2405">
      <c r="A2405" s="132"/>
      <c r="B2405" s="41"/>
      <c r="C2405" s="9"/>
      <c r="D2405" s="133"/>
      <c r="E2405" s="133"/>
      <c r="F2405" s="24"/>
      <c r="G2405" s="24"/>
      <c r="I2405" s="13" t="str">
        <f>IFERROR(__xludf.DUMMYFUNCTION("if(isblank(A2405),,split(A2405,""-""))"),"")</f>
        <v/>
      </c>
      <c r="K2405" s="13" t="str">
        <f>IFERROR(__xludf.DUMMYFUNCTION("if(isblank(B2405),,split(B2405,""-""))"),"")</f>
        <v/>
      </c>
    </row>
    <row r="2406">
      <c r="A2406" s="132"/>
      <c r="B2406" s="41"/>
      <c r="C2406" s="9"/>
      <c r="D2406" s="133"/>
      <c r="E2406" s="133"/>
      <c r="F2406" s="24"/>
      <c r="G2406" s="24"/>
      <c r="I2406" s="13" t="str">
        <f>IFERROR(__xludf.DUMMYFUNCTION("if(isblank(A2406),,split(A2406,""-""))"),"")</f>
        <v/>
      </c>
      <c r="K2406" s="13" t="str">
        <f>IFERROR(__xludf.DUMMYFUNCTION("if(isblank(B2406),,split(B2406,""-""))"),"")</f>
        <v/>
      </c>
    </row>
    <row r="2407">
      <c r="A2407" s="132"/>
      <c r="B2407" s="41"/>
      <c r="C2407" s="9"/>
      <c r="D2407" s="133"/>
      <c r="E2407" s="133"/>
      <c r="F2407" s="24"/>
      <c r="G2407" s="24"/>
      <c r="I2407" s="13" t="str">
        <f>IFERROR(__xludf.DUMMYFUNCTION("if(isblank(A2407),,split(A2407,""-""))"),"")</f>
        <v/>
      </c>
      <c r="K2407" s="13" t="str">
        <f>IFERROR(__xludf.DUMMYFUNCTION("if(isblank(B2407),,split(B2407,""-""))"),"")</f>
        <v/>
      </c>
    </row>
    <row r="2408">
      <c r="A2408" s="132"/>
      <c r="B2408" s="41"/>
      <c r="C2408" s="9"/>
      <c r="D2408" s="133"/>
      <c r="E2408" s="133"/>
      <c r="F2408" s="24"/>
      <c r="G2408" s="24"/>
      <c r="I2408" s="13" t="str">
        <f>IFERROR(__xludf.DUMMYFUNCTION("if(isblank(A2408),,split(A2408,""-""))"),"")</f>
        <v/>
      </c>
      <c r="K2408" s="13" t="str">
        <f>IFERROR(__xludf.DUMMYFUNCTION("if(isblank(B2408),,split(B2408,""-""))"),"")</f>
        <v/>
      </c>
    </row>
    <row r="2409">
      <c r="A2409" s="132"/>
      <c r="B2409" s="41"/>
      <c r="C2409" s="9"/>
      <c r="D2409" s="133"/>
      <c r="E2409" s="133"/>
      <c r="F2409" s="24"/>
      <c r="G2409" s="24"/>
      <c r="I2409" s="13" t="str">
        <f>IFERROR(__xludf.DUMMYFUNCTION("if(isblank(A2409),,split(A2409,""-""))"),"")</f>
        <v/>
      </c>
      <c r="K2409" s="13" t="str">
        <f>IFERROR(__xludf.DUMMYFUNCTION("if(isblank(B2409),,split(B2409,""-""))"),"")</f>
        <v/>
      </c>
    </row>
    <row r="2410">
      <c r="A2410" s="132"/>
      <c r="B2410" s="41"/>
      <c r="C2410" s="9"/>
      <c r="D2410" s="133"/>
      <c r="E2410" s="133"/>
      <c r="F2410" s="24"/>
      <c r="G2410" s="24"/>
      <c r="I2410" s="13" t="str">
        <f>IFERROR(__xludf.DUMMYFUNCTION("if(isblank(A2410),,split(A2410,""-""))"),"")</f>
        <v/>
      </c>
      <c r="K2410" s="13" t="str">
        <f>IFERROR(__xludf.DUMMYFUNCTION("if(isblank(B2410),,split(B2410,""-""))"),"")</f>
        <v/>
      </c>
    </row>
    <row r="2411">
      <c r="A2411" s="132"/>
      <c r="B2411" s="41"/>
      <c r="C2411" s="9"/>
      <c r="D2411" s="133"/>
      <c r="E2411" s="133"/>
      <c r="F2411" s="24"/>
      <c r="G2411" s="24"/>
      <c r="I2411" s="13" t="str">
        <f>IFERROR(__xludf.DUMMYFUNCTION("if(isblank(A2411),,split(A2411,""-""))"),"")</f>
        <v/>
      </c>
      <c r="K2411" s="13" t="str">
        <f>IFERROR(__xludf.DUMMYFUNCTION("if(isblank(B2411),,split(B2411,""-""))"),"")</f>
        <v/>
      </c>
    </row>
    <row r="2412">
      <c r="A2412" s="132"/>
      <c r="B2412" s="41"/>
      <c r="C2412" s="9"/>
      <c r="D2412" s="133"/>
      <c r="E2412" s="133"/>
      <c r="F2412" s="24"/>
      <c r="G2412" s="24"/>
      <c r="I2412" s="13" t="str">
        <f>IFERROR(__xludf.DUMMYFUNCTION("if(isblank(A2412),,split(A2412,""-""))"),"")</f>
        <v/>
      </c>
      <c r="K2412" s="13" t="str">
        <f>IFERROR(__xludf.DUMMYFUNCTION("if(isblank(B2412),,split(B2412,""-""))"),"")</f>
        <v/>
      </c>
    </row>
    <row r="2413">
      <c r="A2413" s="132"/>
      <c r="B2413" s="41"/>
      <c r="C2413" s="9"/>
      <c r="D2413" s="133"/>
      <c r="E2413" s="133"/>
      <c r="F2413" s="24"/>
      <c r="G2413" s="24"/>
      <c r="I2413" s="13" t="str">
        <f>IFERROR(__xludf.DUMMYFUNCTION("if(isblank(A2413),,split(A2413,""-""))"),"")</f>
        <v/>
      </c>
      <c r="K2413" s="13" t="str">
        <f>IFERROR(__xludf.DUMMYFUNCTION("if(isblank(B2413),,split(B2413,""-""))"),"")</f>
        <v/>
      </c>
    </row>
    <row r="2414">
      <c r="A2414" s="132"/>
      <c r="B2414" s="41"/>
      <c r="C2414" s="9"/>
      <c r="D2414" s="133"/>
      <c r="E2414" s="133"/>
      <c r="F2414" s="24"/>
      <c r="G2414" s="24"/>
      <c r="I2414" s="13" t="str">
        <f>IFERROR(__xludf.DUMMYFUNCTION("if(isblank(A2414),,split(A2414,""-""))"),"")</f>
        <v/>
      </c>
      <c r="K2414" s="13" t="str">
        <f>IFERROR(__xludf.DUMMYFUNCTION("if(isblank(B2414),,split(B2414,""-""))"),"")</f>
        <v/>
      </c>
    </row>
    <row r="2415">
      <c r="A2415" s="132"/>
      <c r="B2415" s="41"/>
      <c r="C2415" s="9"/>
      <c r="D2415" s="133"/>
      <c r="E2415" s="133"/>
      <c r="F2415" s="24"/>
      <c r="G2415" s="24"/>
      <c r="I2415" s="13" t="str">
        <f>IFERROR(__xludf.DUMMYFUNCTION("if(isblank(A2415),,split(A2415,""-""))"),"")</f>
        <v/>
      </c>
      <c r="K2415" s="13" t="str">
        <f>IFERROR(__xludf.DUMMYFUNCTION("if(isblank(B2415),,split(B2415,""-""))"),"")</f>
        <v/>
      </c>
    </row>
    <row r="2416">
      <c r="A2416" s="132"/>
      <c r="B2416" s="41"/>
      <c r="C2416" s="9"/>
      <c r="D2416" s="133"/>
      <c r="E2416" s="133"/>
      <c r="F2416" s="24"/>
      <c r="G2416" s="24"/>
      <c r="I2416" s="13" t="str">
        <f>IFERROR(__xludf.DUMMYFUNCTION("if(isblank(A2416),,split(A2416,""-""))"),"")</f>
        <v/>
      </c>
      <c r="K2416" s="13" t="str">
        <f>IFERROR(__xludf.DUMMYFUNCTION("if(isblank(B2416),,split(B2416,""-""))"),"")</f>
        <v/>
      </c>
    </row>
    <row r="2417">
      <c r="A2417" s="132"/>
      <c r="B2417" s="41"/>
      <c r="C2417" s="9"/>
      <c r="D2417" s="133"/>
      <c r="E2417" s="133"/>
      <c r="F2417" s="24"/>
      <c r="G2417" s="24"/>
      <c r="I2417" s="13" t="str">
        <f>IFERROR(__xludf.DUMMYFUNCTION("if(isblank(A2417),,split(A2417,""-""))"),"")</f>
        <v/>
      </c>
      <c r="K2417" s="13" t="str">
        <f>IFERROR(__xludf.DUMMYFUNCTION("if(isblank(B2417),,split(B2417,""-""))"),"")</f>
        <v/>
      </c>
    </row>
    <row r="2418">
      <c r="A2418" s="132"/>
      <c r="B2418" s="41"/>
      <c r="C2418" s="9"/>
      <c r="D2418" s="133"/>
      <c r="E2418" s="133"/>
      <c r="F2418" s="24"/>
      <c r="G2418" s="24"/>
      <c r="I2418" s="13" t="str">
        <f>IFERROR(__xludf.DUMMYFUNCTION("if(isblank(A2418),,split(A2418,""-""))"),"")</f>
        <v/>
      </c>
      <c r="K2418" s="13" t="str">
        <f>IFERROR(__xludf.DUMMYFUNCTION("if(isblank(B2418),,split(B2418,""-""))"),"")</f>
        <v/>
      </c>
    </row>
    <row r="2419">
      <c r="A2419" s="132"/>
      <c r="B2419" s="41"/>
      <c r="C2419" s="9"/>
      <c r="D2419" s="133"/>
      <c r="E2419" s="133"/>
      <c r="F2419" s="24"/>
      <c r="G2419" s="24"/>
      <c r="I2419" s="13" t="str">
        <f>IFERROR(__xludf.DUMMYFUNCTION("if(isblank(A2419),,split(A2419,""-""))"),"")</f>
        <v/>
      </c>
      <c r="K2419" s="13" t="str">
        <f>IFERROR(__xludf.DUMMYFUNCTION("if(isblank(B2419),,split(B2419,""-""))"),"")</f>
        <v/>
      </c>
    </row>
    <row r="2420">
      <c r="A2420" s="132"/>
      <c r="B2420" s="41"/>
      <c r="C2420" s="9"/>
      <c r="D2420" s="133"/>
      <c r="E2420" s="133"/>
      <c r="F2420" s="24"/>
      <c r="G2420" s="24"/>
      <c r="I2420" s="13" t="str">
        <f>IFERROR(__xludf.DUMMYFUNCTION("if(isblank(A2420),,split(A2420,""-""))"),"")</f>
        <v/>
      </c>
      <c r="K2420" s="13" t="str">
        <f>IFERROR(__xludf.DUMMYFUNCTION("if(isblank(B2420),,split(B2420,""-""))"),"")</f>
        <v/>
      </c>
    </row>
    <row r="2421">
      <c r="A2421" s="132"/>
      <c r="B2421" s="41"/>
      <c r="C2421" s="9"/>
      <c r="D2421" s="133"/>
      <c r="E2421" s="133"/>
      <c r="F2421" s="24"/>
      <c r="G2421" s="24"/>
      <c r="I2421" s="13" t="str">
        <f>IFERROR(__xludf.DUMMYFUNCTION("if(isblank(A2421),,split(A2421,""-""))"),"")</f>
        <v/>
      </c>
      <c r="K2421" s="13" t="str">
        <f>IFERROR(__xludf.DUMMYFUNCTION("if(isblank(B2421),,split(B2421,""-""))"),"")</f>
        <v/>
      </c>
    </row>
    <row r="2422">
      <c r="A2422" s="132"/>
      <c r="B2422" s="41"/>
      <c r="C2422" s="9"/>
      <c r="D2422" s="133"/>
      <c r="E2422" s="133"/>
      <c r="F2422" s="24"/>
      <c r="G2422" s="24"/>
      <c r="I2422" s="13" t="str">
        <f>IFERROR(__xludf.DUMMYFUNCTION("if(isblank(A2422),,split(A2422,""-""))"),"")</f>
        <v/>
      </c>
      <c r="K2422" s="13" t="str">
        <f>IFERROR(__xludf.DUMMYFUNCTION("if(isblank(B2422),,split(B2422,""-""))"),"")</f>
        <v/>
      </c>
    </row>
    <row r="2423">
      <c r="A2423" s="132"/>
      <c r="B2423" s="41"/>
      <c r="C2423" s="9"/>
      <c r="D2423" s="133"/>
      <c r="E2423" s="133"/>
      <c r="F2423" s="24"/>
      <c r="G2423" s="24"/>
      <c r="I2423" s="13" t="str">
        <f>IFERROR(__xludf.DUMMYFUNCTION("if(isblank(A2423),,split(A2423,""-""))"),"")</f>
        <v/>
      </c>
      <c r="K2423" s="13" t="str">
        <f>IFERROR(__xludf.DUMMYFUNCTION("if(isblank(B2423),,split(B2423,""-""))"),"")</f>
        <v/>
      </c>
    </row>
    <row r="2424">
      <c r="A2424" s="132"/>
      <c r="B2424" s="41"/>
      <c r="C2424" s="9"/>
      <c r="D2424" s="133"/>
      <c r="E2424" s="133"/>
      <c r="F2424" s="24"/>
      <c r="G2424" s="24"/>
      <c r="I2424" s="13" t="str">
        <f>IFERROR(__xludf.DUMMYFUNCTION("if(isblank(A2424),,split(A2424,""-""))"),"")</f>
        <v/>
      </c>
      <c r="K2424" s="13" t="str">
        <f>IFERROR(__xludf.DUMMYFUNCTION("if(isblank(B2424),,split(B2424,""-""))"),"")</f>
        <v/>
      </c>
    </row>
    <row r="2425">
      <c r="A2425" s="132"/>
      <c r="B2425" s="41"/>
      <c r="C2425" s="9"/>
      <c r="D2425" s="133"/>
      <c r="E2425" s="133"/>
      <c r="F2425" s="24"/>
      <c r="G2425" s="24"/>
      <c r="I2425" s="13" t="str">
        <f>IFERROR(__xludf.DUMMYFUNCTION("if(isblank(A2425),,split(A2425,""-""))"),"")</f>
        <v/>
      </c>
      <c r="K2425" s="13" t="str">
        <f>IFERROR(__xludf.DUMMYFUNCTION("if(isblank(B2425),,split(B2425,""-""))"),"")</f>
        <v/>
      </c>
    </row>
    <row r="2426">
      <c r="A2426" s="132"/>
      <c r="B2426" s="41"/>
      <c r="C2426" s="9"/>
      <c r="D2426" s="133"/>
      <c r="E2426" s="133"/>
      <c r="F2426" s="24"/>
      <c r="G2426" s="24"/>
      <c r="I2426" s="13" t="str">
        <f>IFERROR(__xludf.DUMMYFUNCTION("if(isblank(A2426),,split(A2426,""-""))"),"")</f>
        <v/>
      </c>
      <c r="K2426" s="13" t="str">
        <f>IFERROR(__xludf.DUMMYFUNCTION("if(isblank(B2426),,split(B2426,""-""))"),"")</f>
        <v/>
      </c>
    </row>
    <row r="2427">
      <c r="A2427" s="132"/>
      <c r="B2427" s="41"/>
      <c r="C2427" s="9"/>
      <c r="D2427" s="133"/>
      <c r="E2427" s="133"/>
      <c r="F2427" s="24"/>
      <c r="G2427" s="24"/>
      <c r="I2427" s="13" t="str">
        <f>IFERROR(__xludf.DUMMYFUNCTION("if(isblank(A2427),,split(A2427,""-""))"),"")</f>
        <v/>
      </c>
      <c r="K2427" s="13" t="str">
        <f>IFERROR(__xludf.DUMMYFUNCTION("if(isblank(B2427),,split(B2427,""-""))"),"")</f>
        <v/>
      </c>
    </row>
    <row r="2428">
      <c r="A2428" s="132"/>
      <c r="B2428" s="41"/>
      <c r="C2428" s="9"/>
      <c r="D2428" s="133"/>
      <c r="E2428" s="133"/>
      <c r="F2428" s="24"/>
      <c r="G2428" s="24"/>
      <c r="I2428" s="13" t="str">
        <f>IFERROR(__xludf.DUMMYFUNCTION("if(isblank(A2428),,split(A2428,""-""))"),"")</f>
        <v/>
      </c>
      <c r="K2428" s="13" t="str">
        <f>IFERROR(__xludf.DUMMYFUNCTION("if(isblank(B2428),,split(B2428,""-""))"),"")</f>
        <v/>
      </c>
    </row>
    <row r="2429">
      <c r="A2429" s="132"/>
      <c r="B2429" s="41"/>
      <c r="C2429" s="9"/>
      <c r="D2429" s="133"/>
      <c r="E2429" s="133"/>
      <c r="F2429" s="24"/>
      <c r="G2429" s="24"/>
      <c r="I2429" s="13" t="str">
        <f>IFERROR(__xludf.DUMMYFUNCTION("if(isblank(A2429),,split(A2429,""-""))"),"")</f>
        <v/>
      </c>
      <c r="K2429" s="13" t="str">
        <f>IFERROR(__xludf.DUMMYFUNCTION("if(isblank(B2429),,split(B2429,""-""))"),"")</f>
        <v/>
      </c>
    </row>
    <row r="2430">
      <c r="A2430" s="132"/>
      <c r="B2430" s="41"/>
      <c r="C2430" s="9"/>
      <c r="D2430" s="133"/>
      <c r="E2430" s="133"/>
      <c r="F2430" s="24"/>
      <c r="G2430" s="24"/>
      <c r="I2430" s="13" t="str">
        <f>IFERROR(__xludf.DUMMYFUNCTION("if(isblank(A2430),,split(A2430,""-""))"),"")</f>
        <v/>
      </c>
      <c r="K2430" s="13" t="str">
        <f>IFERROR(__xludf.DUMMYFUNCTION("if(isblank(B2430),,split(B2430,""-""))"),"")</f>
        <v/>
      </c>
    </row>
    <row r="2431">
      <c r="A2431" s="132"/>
      <c r="B2431" s="41"/>
      <c r="C2431" s="9"/>
      <c r="D2431" s="133"/>
      <c r="E2431" s="133"/>
      <c r="F2431" s="24"/>
      <c r="G2431" s="24"/>
      <c r="I2431" s="13" t="str">
        <f>IFERROR(__xludf.DUMMYFUNCTION("if(isblank(A2431),,split(A2431,""-""))"),"")</f>
        <v/>
      </c>
      <c r="K2431" s="13" t="str">
        <f>IFERROR(__xludf.DUMMYFUNCTION("if(isblank(B2431),,split(B2431,""-""))"),"")</f>
        <v/>
      </c>
    </row>
    <row r="2432">
      <c r="A2432" s="132"/>
      <c r="B2432" s="41"/>
      <c r="C2432" s="9"/>
      <c r="D2432" s="133"/>
      <c r="E2432" s="133"/>
      <c r="F2432" s="24"/>
      <c r="G2432" s="24"/>
      <c r="I2432" s="13" t="str">
        <f>IFERROR(__xludf.DUMMYFUNCTION("if(isblank(A2432),,split(A2432,""-""))"),"")</f>
        <v/>
      </c>
      <c r="K2432" s="13" t="str">
        <f>IFERROR(__xludf.DUMMYFUNCTION("if(isblank(B2432),,split(B2432,""-""))"),"")</f>
        <v/>
      </c>
    </row>
    <row r="2433">
      <c r="A2433" s="132"/>
      <c r="B2433" s="41"/>
      <c r="C2433" s="9"/>
      <c r="D2433" s="133"/>
      <c r="E2433" s="133"/>
      <c r="F2433" s="24"/>
      <c r="G2433" s="24"/>
      <c r="I2433" s="13" t="str">
        <f>IFERROR(__xludf.DUMMYFUNCTION("if(isblank(A2433),,split(A2433,""-""))"),"")</f>
        <v/>
      </c>
      <c r="K2433" s="13" t="str">
        <f>IFERROR(__xludf.DUMMYFUNCTION("if(isblank(B2433),,split(B2433,""-""))"),"")</f>
        <v/>
      </c>
    </row>
    <row r="2434">
      <c r="A2434" s="132"/>
      <c r="B2434" s="41"/>
      <c r="C2434" s="9"/>
      <c r="D2434" s="133"/>
      <c r="E2434" s="133"/>
      <c r="F2434" s="24"/>
      <c r="G2434" s="24"/>
      <c r="I2434" s="13" t="str">
        <f>IFERROR(__xludf.DUMMYFUNCTION("if(isblank(A2434),,split(A2434,""-""))"),"")</f>
        <v/>
      </c>
      <c r="K2434" s="13" t="str">
        <f>IFERROR(__xludf.DUMMYFUNCTION("if(isblank(B2434),,split(B2434,""-""))"),"")</f>
        <v/>
      </c>
    </row>
    <row r="2435">
      <c r="A2435" s="132"/>
      <c r="B2435" s="41"/>
      <c r="C2435" s="9"/>
      <c r="D2435" s="133"/>
      <c r="E2435" s="133"/>
      <c r="F2435" s="24"/>
      <c r="G2435" s="24"/>
      <c r="I2435" s="13" t="str">
        <f>IFERROR(__xludf.DUMMYFUNCTION("if(isblank(A2435),,split(A2435,""-""))"),"")</f>
        <v/>
      </c>
      <c r="K2435" s="13" t="str">
        <f>IFERROR(__xludf.DUMMYFUNCTION("if(isblank(B2435),,split(B2435,""-""))"),"")</f>
        <v/>
      </c>
    </row>
    <row r="2436">
      <c r="A2436" s="132"/>
      <c r="B2436" s="41"/>
      <c r="C2436" s="9"/>
      <c r="D2436" s="133"/>
      <c r="E2436" s="133"/>
      <c r="F2436" s="24"/>
      <c r="G2436" s="24"/>
      <c r="I2436" s="13" t="str">
        <f>IFERROR(__xludf.DUMMYFUNCTION("if(isblank(A2436),,split(A2436,""-""))"),"")</f>
        <v/>
      </c>
      <c r="K2436" s="13" t="str">
        <f>IFERROR(__xludf.DUMMYFUNCTION("if(isblank(B2436),,split(B2436,""-""))"),"")</f>
        <v/>
      </c>
    </row>
    <row r="2437">
      <c r="A2437" s="132"/>
      <c r="B2437" s="41"/>
      <c r="C2437" s="9"/>
      <c r="D2437" s="133"/>
      <c r="E2437" s="133"/>
      <c r="F2437" s="24"/>
      <c r="G2437" s="24"/>
      <c r="I2437" s="13" t="str">
        <f>IFERROR(__xludf.DUMMYFUNCTION("if(isblank(A2437),,split(A2437,""-""))"),"")</f>
        <v/>
      </c>
      <c r="K2437" s="13" t="str">
        <f>IFERROR(__xludf.DUMMYFUNCTION("if(isblank(B2437),,split(B2437,""-""))"),"")</f>
        <v/>
      </c>
    </row>
    <row r="2438">
      <c r="A2438" s="132"/>
      <c r="B2438" s="41"/>
      <c r="C2438" s="9"/>
      <c r="D2438" s="133"/>
      <c r="E2438" s="133"/>
      <c r="F2438" s="24"/>
      <c r="G2438" s="24"/>
      <c r="I2438" s="13" t="str">
        <f>IFERROR(__xludf.DUMMYFUNCTION("if(isblank(A2438),,split(A2438,""-""))"),"")</f>
        <v/>
      </c>
      <c r="K2438" s="13" t="str">
        <f>IFERROR(__xludf.DUMMYFUNCTION("if(isblank(B2438),,split(B2438,""-""))"),"")</f>
        <v/>
      </c>
    </row>
    <row r="2439">
      <c r="A2439" s="132"/>
      <c r="B2439" s="41"/>
      <c r="C2439" s="9"/>
      <c r="D2439" s="133"/>
      <c r="E2439" s="133"/>
      <c r="F2439" s="24"/>
      <c r="G2439" s="24"/>
      <c r="I2439" s="13" t="str">
        <f>IFERROR(__xludf.DUMMYFUNCTION("if(isblank(A2439),,split(A2439,""-""))"),"")</f>
        <v/>
      </c>
      <c r="K2439" s="13" t="str">
        <f>IFERROR(__xludf.DUMMYFUNCTION("if(isblank(B2439),,split(B2439,""-""))"),"")</f>
        <v/>
      </c>
    </row>
    <row r="2440">
      <c r="A2440" s="132"/>
      <c r="B2440" s="41"/>
      <c r="C2440" s="9"/>
      <c r="D2440" s="133"/>
      <c r="E2440" s="133"/>
      <c r="F2440" s="24"/>
      <c r="G2440" s="24"/>
      <c r="I2440" s="13" t="str">
        <f>IFERROR(__xludf.DUMMYFUNCTION("if(isblank(A2440),,split(A2440,""-""))"),"")</f>
        <v/>
      </c>
      <c r="K2440" s="13" t="str">
        <f>IFERROR(__xludf.DUMMYFUNCTION("if(isblank(B2440),,split(B2440,""-""))"),"")</f>
        <v/>
      </c>
    </row>
    <row r="2441">
      <c r="A2441" s="132"/>
      <c r="B2441" s="41"/>
      <c r="C2441" s="9"/>
      <c r="D2441" s="133"/>
      <c r="E2441" s="133"/>
      <c r="F2441" s="24"/>
      <c r="G2441" s="24"/>
      <c r="I2441" s="13" t="str">
        <f>IFERROR(__xludf.DUMMYFUNCTION("if(isblank(A2441),,split(A2441,""-""))"),"")</f>
        <v/>
      </c>
      <c r="K2441" s="13" t="str">
        <f>IFERROR(__xludf.DUMMYFUNCTION("if(isblank(B2441),,split(B2441,""-""))"),"")</f>
        <v/>
      </c>
    </row>
    <row r="2442">
      <c r="A2442" s="132"/>
      <c r="B2442" s="41"/>
      <c r="C2442" s="9"/>
      <c r="D2442" s="133"/>
      <c r="E2442" s="133"/>
      <c r="F2442" s="24"/>
      <c r="G2442" s="24"/>
      <c r="I2442" s="13" t="str">
        <f>IFERROR(__xludf.DUMMYFUNCTION("if(isblank(A2442),,split(A2442,""-""))"),"")</f>
        <v/>
      </c>
      <c r="K2442" s="13" t="str">
        <f>IFERROR(__xludf.DUMMYFUNCTION("if(isblank(B2442),,split(B2442,""-""))"),"")</f>
        <v/>
      </c>
    </row>
    <row r="2443">
      <c r="A2443" s="132"/>
      <c r="B2443" s="41"/>
      <c r="C2443" s="9"/>
      <c r="D2443" s="133"/>
      <c r="E2443" s="133"/>
      <c r="F2443" s="24"/>
      <c r="G2443" s="24"/>
      <c r="I2443" s="13" t="str">
        <f>IFERROR(__xludf.DUMMYFUNCTION("if(isblank(A2443),,split(A2443,""-""))"),"")</f>
        <v/>
      </c>
      <c r="K2443" s="13" t="str">
        <f>IFERROR(__xludf.DUMMYFUNCTION("if(isblank(B2443),,split(B2443,""-""))"),"")</f>
        <v/>
      </c>
    </row>
    <row r="2444">
      <c r="A2444" s="132"/>
      <c r="B2444" s="41"/>
      <c r="C2444" s="9"/>
      <c r="D2444" s="133"/>
      <c r="E2444" s="133"/>
      <c r="F2444" s="24"/>
      <c r="G2444" s="24"/>
      <c r="I2444" s="13" t="str">
        <f>IFERROR(__xludf.DUMMYFUNCTION("if(isblank(A2444),,split(A2444,""-""))"),"")</f>
        <v/>
      </c>
      <c r="K2444" s="13" t="str">
        <f>IFERROR(__xludf.DUMMYFUNCTION("if(isblank(B2444),,split(B2444,""-""))"),"")</f>
        <v/>
      </c>
    </row>
    <row r="2445">
      <c r="A2445" s="132"/>
      <c r="B2445" s="41"/>
      <c r="C2445" s="9"/>
      <c r="D2445" s="133"/>
      <c r="E2445" s="133"/>
      <c r="F2445" s="24"/>
      <c r="G2445" s="24"/>
      <c r="I2445" s="13" t="str">
        <f>IFERROR(__xludf.DUMMYFUNCTION("if(isblank(A2445),,split(A2445,""-""))"),"")</f>
        <v/>
      </c>
      <c r="K2445" s="13" t="str">
        <f>IFERROR(__xludf.DUMMYFUNCTION("if(isblank(B2445),,split(B2445,""-""))"),"")</f>
        <v/>
      </c>
    </row>
    <row r="2446">
      <c r="A2446" s="132"/>
      <c r="B2446" s="41"/>
      <c r="C2446" s="9"/>
      <c r="D2446" s="133"/>
      <c r="E2446" s="133"/>
      <c r="F2446" s="24"/>
      <c r="G2446" s="24"/>
      <c r="I2446" s="13" t="str">
        <f>IFERROR(__xludf.DUMMYFUNCTION("if(isblank(A2446),,split(A2446,""-""))"),"")</f>
        <v/>
      </c>
      <c r="K2446" s="13" t="str">
        <f>IFERROR(__xludf.DUMMYFUNCTION("if(isblank(B2446),,split(B2446,""-""))"),"")</f>
        <v/>
      </c>
    </row>
    <row r="2447">
      <c r="A2447" s="132"/>
      <c r="B2447" s="41"/>
      <c r="C2447" s="9"/>
      <c r="D2447" s="133"/>
      <c r="E2447" s="133"/>
      <c r="F2447" s="24"/>
      <c r="G2447" s="24"/>
      <c r="I2447" s="13" t="str">
        <f>IFERROR(__xludf.DUMMYFUNCTION("if(isblank(A2447),,split(A2447,""-""))"),"")</f>
        <v/>
      </c>
      <c r="K2447" s="13" t="str">
        <f>IFERROR(__xludf.DUMMYFUNCTION("if(isblank(B2447),,split(B2447,""-""))"),"")</f>
        <v/>
      </c>
    </row>
    <row r="2448">
      <c r="A2448" s="132"/>
      <c r="B2448" s="41"/>
      <c r="C2448" s="9"/>
      <c r="D2448" s="133"/>
      <c r="E2448" s="133"/>
      <c r="F2448" s="24"/>
      <c r="G2448" s="24"/>
      <c r="I2448" s="13" t="str">
        <f>IFERROR(__xludf.DUMMYFUNCTION("if(isblank(A2448),,split(A2448,""-""))"),"")</f>
        <v/>
      </c>
      <c r="K2448" s="13" t="str">
        <f>IFERROR(__xludf.DUMMYFUNCTION("if(isblank(B2448),,split(B2448,""-""))"),"")</f>
        <v/>
      </c>
    </row>
    <row r="2449">
      <c r="A2449" s="132"/>
      <c r="B2449" s="41"/>
      <c r="C2449" s="9"/>
      <c r="D2449" s="133"/>
      <c r="E2449" s="133"/>
      <c r="F2449" s="24"/>
      <c r="G2449" s="24"/>
      <c r="I2449" s="13" t="str">
        <f>IFERROR(__xludf.DUMMYFUNCTION("if(isblank(A2449),,split(A2449,""-""))"),"")</f>
        <v/>
      </c>
      <c r="K2449" s="13" t="str">
        <f>IFERROR(__xludf.DUMMYFUNCTION("if(isblank(B2449),,split(B2449,""-""))"),"")</f>
        <v/>
      </c>
    </row>
    <row r="2450">
      <c r="A2450" s="132"/>
      <c r="B2450" s="41"/>
      <c r="C2450" s="9"/>
      <c r="D2450" s="133"/>
      <c r="E2450" s="133"/>
      <c r="F2450" s="24"/>
      <c r="G2450" s="24"/>
      <c r="I2450" s="13" t="str">
        <f>IFERROR(__xludf.DUMMYFUNCTION("if(isblank(A2450),,split(A2450,""-""))"),"")</f>
        <v/>
      </c>
      <c r="K2450" s="13" t="str">
        <f>IFERROR(__xludf.DUMMYFUNCTION("if(isblank(B2450),,split(B2450,""-""))"),"")</f>
        <v/>
      </c>
    </row>
    <row r="2451">
      <c r="A2451" s="132"/>
      <c r="B2451" s="41"/>
      <c r="C2451" s="9"/>
      <c r="D2451" s="133"/>
      <c r="E2451" s="133"/>
      <c r="F2451" s="24"/>
      <c r="G2451" s="24"/>
      <c r="I2451" s="13" t="str">
        <f>IFERROR(__xludf.DUMMYFUNCTION("if(isblank(A2451),,split(A2451,""-""))"),"")</f>
        <v/>
      </c>
      <c r="K2451" s="13" t="str">
        <f>IFERROR(__xludf.DUMMYFUNCTION("if(isblank(B2451),,split(B2451,""-""))"),"")</f>
        <v/>
      </c>
    </row>
    <row r="2452">
      <c r="A2452" s="132"/>
      <c r="B2452" s="41"/>
      <c r="C2452" s="9"/>
      <c r="D2452" s="133"/>
      <c r="E2452" s="133"/>
      <c r="F2452" s="24"/>
      <c r="G2452" s="24"/>
      <c r="I2452" s="13" t="str">
        <f>IFERROR(__xludf.DUMMYFUNCTION("if(isblank(A2452),,split(A2452,""-""))"),"")</f>
        <v/>
      </c>
      <c r="K2452" s="13" t="str">
        <f>IFERROR(__xludf.DUMMYFUNCTION("if(isblank(B2452),,split(B2452,""-""))"),"")</f>
        <v/>
      </c>
    </row>
    <row r="2453">
      <c r="A2453" s="132"/>
      <c r="B2453" s="41"/>
      <c r="C2453" s="9"/>
      <c r="D2453" s="133"/>
      <c r="E2453" s="133"/>
      <c r="F2453" s="24"/>
      <c r="G2453" s="24"/>
      <c r="I2453" s="13" t="str">
        <f>IFERROR(__xludf.DUMMYFUNCTION("if(isblank(A2453),,split(A2453,""-""))"),"")</f>
        <v/>
      </c>
      <c r="K2453" s="13" t="str">
        <f>IFERROR(__xludf.DUMMYFUNCTION("if(isblank(B2453),,split(B2453,""-""))"),"")</f>
        <v/>
      </c>
    </row>
    <row r="2454">
      <c r="A2454" s="132"/>
      <c r="B2454" s="41"/>
      <c r="C2454" s="9"/>
      <c r="D2454" s="133"/>
      <c r="E2454" s="133"/>
      <c r="F2454" s="24"/>
      <c r="G2454" s="24"/>
      <c r="I2454" s="13" t="str">
        <f>IFERROR(__xludf.DUMMYFUNCTION("if(isblank(A2454),,split(A2454,""-""))"),"")</f>
        <v/>
      </c>
      <c r="K2454" s="13" t="str">
        <f>IFERROR(__xludf.DUMMYFUNCTION("if(isblank(B2454),,split(B2454,""-""))"),"")</f>
        <v/>
      </c>
    </row>
    <row r="2455">
      <c r="A2455" s="132"/>
      <c r="B2455" s="41"/>
      <c r="C2455" s="9"/>
      <c r="D2455" s="133"/>
      <c r="E2455" s="133"/>
      <c r="F2455" s="24"/>
      <c r="G2455" s="24"/>
      <c r="I2455" s="13" t="str">
        <f>IFERROR(__xludf.DUMMYFUNCTION("if(isblank(A2455),,split(A2455,""-""))"),"")</f>
        <v/>
      </c>
      <c r="K2455" s="13" t="str">
        <f>IFERROR(__xludf.DUMMYFUNCTION("if(isblank(B2455),,split(B2455,""-""))"),"")</f>
        <v/>
      </c>
    </row>
    <row r="2456">
      <c r="A2456" s="132"/>
      <c r="B2456" s="41"/>
      <c r="C2456" s="9"/>
      <c r="D2456" s="133"/>
      <c r="E2456" s="133"/>
      <c r="F2456" s="24"/>
      <c r="G2456" s="24"/>
      <c r="I2456" s="13" t="str">
        <f>IFERROR(__xludf.DUMMYFUNCTION("if(isblank(A2456),,split(A2456,""-""))"),"")</f>
        <v/>
      </c>
      <c r="K2456" s="13" t="str">
        <f>IFERROR(__xludf.DUMMYFUNCTION("if(isblank(B2456),,split(B2456,""-""))"),"")</f>
        <v/>
      </c>
    </row>
    <row r="2457">
      <c r="A2457" s="132"/>
      <c r="B2457" s="41"/>
      <c r="C2457" s="9"/>
      <c r="D2457" s="133"/>
      <c r="E2457" s="133"/>
      <c r="F2457" s="24"/>
      <c r="G2457" s="24"/>
      <c r="I2457" s="13" t="str">
        <f>IFERROR(__xludf.DUMMYFUNCTION("if(isblank(A2457),,split(A2457,""-""))"),"")</f>
        <v/>
      </c>
      <c r="K2457" s="13" t="str">
        <f>IFERROR(__xludf.DUMMYFUNCTION("if(isblank(B2457),,split(B2457,""-""))"),"")</f>
        <v/>
      </c>
    </row>
    <row r="2458">
      <c r="A2458" s="132"/>
      <c r="B2458" s="41"/>
      <c r="C2458" s="9"/>
      <c r="D2458" s="133"/>
      <c r="E2458" s="133"/>
      <c r="F2458" s="24"/>
      <c r="G2458" s="24"/>
      <c r="I2458" s="13" t="str">
        <f>IFERROR(__xludf.DUMMYFUNCTION("if(isblank(A2458),,split(A2458,""-""))"),"")</f>
        <v/>
      </c>
      <c r="K2458" s="13" t="str">
        <f>IFERROR(__xludf.DUMMYFUNCTION("if(isblank(B2458),,split(B2458,""-""))"),"")</f>
        <v/>
      </c>
    </row>
    <row r="2459">
      <c r="A2459" s="132"/>
      <c r="B2459" s="41"/>
      <c r="C2459" s="9"/>
      <c r="D2459" s="133"/>
      <c r="E2459" s="133"/>
      <c r="F2459" s="24"/>
      <c r="G2459" s="24"/>
      <c r="I2459" s="13" t="str">
        <f>IFERROR(__xludf.DUMMYFUNCTION("if(isblank(A2459),,split(A2459,""-""))"),"")</f>
        <v/>
      </c>
      <c r="K2459" s="13" t="str">
        <f>IFERROR(__xludf.DUMMYFUNCTION("if(isblank(B2459),,split(B2459,""-""))"),"")</f>
        <v/>
      </c>
    </row>
    <row r="2460">
      <c r="A2460" s="132"/>
      <c r="B2460" s="41"/>
      <c r="C2460" s="9"/>
      <c r="D2460" s="133"/>
      <c r="E2460" s="133"/>
      <c r="F2460" s="24"/>
      <c r="G2460" s="24"/>
      <c r="I2460" s="13" t="str">
        <f>IFERROR(__xludf.DUMMYFUNCTION("if(isblank(A2460),,split(A2460,""-""))"),"")</f>
        <v/>
      </c>
      <c r="K2460" s="13" t="str">
        <f>IFERROR(__xludf.DUMMYFUNCTION("if(isblank(B2460),,split(B2460,""-""))"),"")</f>
        <v/>
      </c>
    </row>
    <row r="2461">
      <c r="A2461" s="132"/>
      <c r="B2461" s="41"/>
      <c r="C2461" s="9"/>
      <c r="D2461" s="133"/>
      <c r="E2461" s="133"/>
      <c r="F2461" s="24"/>
      <c r="G2461" s="24"/>
      <c r="I2461" s="13" t="str">
        <f>IFERROR(__xludf.DUMMYFUNCTION("if(isblank(A2461),,split(A2461,""-""))"),"")</f>
        <v/>
      </c>
      <c r="K2461" s="13" t="str">
        <f>IFERROR(__xludf.DUMMYFUNCTION("if(isblank(B2461),,split(B2461,""-""))"),"")</f>
        <v/>
      </c>
    </row>
    <row r="2462">
      <c r="A2462" s="132"/>
      <c r="B2462" s="41"/>
      <c r="C2462" s="9"/>
      <c r="D2462" s="133"/>
      <c r="E2462" s="133"/>
      <c r="F2462" s="24"/>
      <c r="G2462" s="24"/>
      <c r="I2462" s="13" t="str">
        <f>IFERROR(__xludf.DUMMYFUNCTION("if(isblank(A2462),,split(A2462,""-""))"),"")</f>
        <v/>
      </c>
      <c r="K2462" s="13" t="str">
        <f>IFERROR(__xludf.DUMMYFUNCTION("if(isblank(B2462),,split(B2462,""-""))"),"")</f>
        <v/>
      </c>
    </row>
    <row r="2463">
      <c r="A2463" s="132"/>
      <c r="B2463" s="41"/>
      <c r="C2463" s="9"/>
      <c r="D2463" s="133"/>
      <c r="E2463" s="133"/>
      <c r="F2463" s="24"/>
      <c r="G2463" s="24"/>
      <c r="I2463" s="13" t="str">
        <f>IFERROR(__xludf.DUMMYFUNCTION("if(isblank(A2463),,split(A2463,""-""))"),"")</f>
        <v/>
      </c>
      <c r="K2463" s="13" t="str">
        <f>IFERROR(__xludf.DUMMYFUNCTION("if(isblank(B2463),,split(B2463,""-""))"),"")</f>
        <v/>
      </c>
    </row>
    <row r="2464">
      <c r="A2464" s="132"/>
      <c r="B2464" s="41"/>
      <c r="C2464" s="9"/>
      <c r="D2464" s="133"/>
      <c r="E2464" s="133"/>
      <c r="F2464" s="24"/>
      <c r="G2464" s="24"/>
      <c r="I2464" s="13" t="str">
        <f>IFERROR(__xludf.DUMMYFUNCTION("if(isblank(A2464),,split(A2464,""-""))"),"")</f>
        <v/>
      </c>
      <c r="K2464" s="13" t="str">
        <f>IFERROR(__xludf.DUMMYFUNCTION("if(isblank(B2464),,split(B2464,""-""))"),"")</f>
        <v/>
      </c>
    </row>
    <row r="2465">
      <c r="A2465" s="132"/>
      <c r="B2465" s="41"/>
      <c r="C2465" s="9"/>
      <c r="D2465" s="133"/>
      <c r="E2465" s="133"/>
      <c r="F2465" s="24"/>
      <c r="G2465" s="24"/>
      <c r="I2465" s="13" t="str">
        <f>IFERROR(__xludf.DUMMYFUNCTION("if(isblank(A2465),,split(A2465,""-""))"),"")</f>
        <v/>
      </c>
      <c r="K2465" s="13" t="str">
        <f>IFERROR(__xludf.DUMMYFUNCTION("if(isblank(B2465),,split(B2465,""-""))"),"")</f>
        <v/>
      </c>
    </row>
    <row r="2466">
      <c r="A2466" s="132"/>
      <c r="B2466" s="41"/>
      <c r="C2466" s="9"/>
      <c r="D2466" s="133"/>
      <c r="E2466" s="133"/>
      <c r="F2466" s="24"/>
      <c r="G2466" s="24"/>
      <c r="I2466" s="13" t="str">
        <f>IFERROR(__xludf.DUMMYFUNCTION("if(isblank(A2466),,split(A2466,""-""))"),"")</f>
        <v/>
      </c>
      <c r="K2466" s="13" t="str">
        <f>IFERROR(__xludf.DUMMYFUNCTION("if(isblank(B2466),,split(B2466,""-""))"),"")</f>
        <v/>
      </c>
    </row>
    <row r="2467">
      <c r="A2467" s="132"/>
      <c r="B2467" s="41"/>
      <c r="C2467" s="9"/>
      <c r="D2467" s="133"/>
      <c r="E2467" s="133"/>
      <c r="F2467" s="24"/>
      <c r="G2467" s="24"/>
      <c r="I2467" s="13" t="str">
        <f>IFERROR(__xludf.DUMMYFUNCTION("if(isblank(A2467),,split(A2467,""-""))"),"")</f>
        <v/>
      </c>
      <c r="K2467" s="13" t="str">
        <f>IFERROR(__xludf.DUMMYFUNCTION("if(isblank(B2467),,split(B2467,""-""))"),"")</f>
        <v/>
      </c>
    </row>
    <row r="2468">
      <c r="A2468" s="132"/>
      <c r="B2468" s="41"/>
      <c r="C2468" s="9"/>
      <c r="D2468" s="133"/>
      <c r="E2468" s="133"/>
      <c r="F2468" s="24"/>
      <c r="G2468" s="24"/>
      <c r="I2468" s="13" t="str">
        <f>IFERROR(__xludf.DUMMYFUNCTION("if(isblank(A2468),,split(A2468,""-""))"),"")</f>
        <v/>
      </c>
      <c r="K2468" s="13" t="str">
        <f>IFERROR(__xludf.DUMMYFUNCTION("if(isblank(B2468),,split(B2468,""-""))"),"")</f>
        <v/>
      </c>
    </row>
    <row r="2469">
      <c r="A2469" s="132"/>
      <c r="B2469" s="41"/>
      <c r="C2469" s="9"/>
      <c r="D2469" s="133"/>
      <c r="E2469" s="133"/>
      <c r="F2469" s="24"/>
      <c r="G2469" s="24"/>
      <c r="I2469" s="13" t="str">
        <f>IFERROR(__xludf.DUMMYFUNCTION("if(isblank(A2469),,split(A2469,""-""))"),"")</f>
        <v/>
      </c>
      <c r="K2469" s="13" t="str">
        <f>IFERROR(__xludf.DUMMYFUNCTION("if(isblank(B2469),,split(B2469,""-""))"),"")</f>
        <v/>
      </c>
    </row>
    <row r="2470">
      <c r="A2470" s="132"/>
      <c r="B2470" s="41"/>
      <c r="C2470" s="9"/>
      <c r="D2470" s="133"/>
      <c r="E2470" s="133"/>
      <c r="F2470" s="24"/>
      <c r="G2470" s="24"/>
      <c r="I2470" s="13" t="str">
        <f>IFERROR(__xludf.DUMMYFUNCTION("if(isblank(A2470),,split(A2470,""-""))"),"")</f>
        <v/>
      </c>
      <c r="K2470" s="13" t="str">
        <f>IFERROR(__xludf.DUMMYFUNCTION("if(isblank(B2470),,split(B2470,""-""))"),"")</f>
        <v/>
      </c>
    </row>
    <row r="2471">
      <c r="A2471" s="132"/>
      <c r="B2471" s="41"/>
      <c r="C2471" s="9"/>
      <c r="D2471" s="133"/>
      <c r="E2471" s="133"/>
      <c r="F2471" s="24"/>
      <c r="G2471" s="24"/>
      <c r="I2471" s="13" t="str">
        <f>IFERROR(__xludf.DUMMYFUNCTION("if(isblank(A2471),,split(A2471,""-""))"),"")</f>
        <v/>
      </c>
      <c r="K2471" s="13" t="str">
        <f>IFERROR(__xludf.DUMMYFUNCTION("if(isblank(B2471),,split(B2471,""-""))"),"")</f>
        <v/>
      </c>
    </row>
    <row r="2472">
      <c r="A2472" s="132"/>
      <c r="B2472" s="41"/>
      <c r="C2472" s="9"/>
      <c r="D2472" s="133"/>
      <c r="E2472" s="133"/>
      <c r="F2472" s="24"/>
      <c r="G2472" s="24"/>
      <c r="I2472" s="13" t="str">
        <f>IFERROR(__xludf.DUMMYFUNCTION("if(isblank(A2472),,split(A2472,""-""))"),"")</f>
        <v/>
      </c>
      <c r="K2472" s="13" t="str">
        <f>IFERROR(__xludf.DUMMYFUNCTION("if(isblank(B2472),,split(B2472,""-""))"),"")</f>
        <v/>
      </c>
    </row>
    <row r="2473">
      <c r="A2473" s="132"/>
      <c r="B2473" s="41"/>
      <c r="C2473" s="9"/>
      <c r="D2473" s="133"/>
      <c r="E2473" s="133"/>
      <c r="F2473" s="24"/>
      <c r="G2473" s="24"/>
      <c r="I2473" s="13" t="str">
        <f>IFERROR(__xludf.DUMMYFUNCTION("if(isblank(A2473),,split(A2473,""-""))"),"")</f>
        <v/>
      </c>
      <c r="K2473" s="13" t="str">
        <f>IFERROR(__xludf.DUMMYFUNCTION("if(isblank(B2473),,split(B2473,""-""))"),"")</f>
        <v/>
      </c>
    </row>
    <row r="2474">
      <c r="A2474" s="132"/>
      <c r="B2474" s="41"/>
      <c r="C2474" s="9"/>
      <c r="D2474" s="133"/>
      <c r="E2474" s="133"/>
      <c r="F2474" s="24"/>
      <c r="G2474" s="24"/>
      <c r="I2474" s="13" t="str">
        <f>IFERROR(__xludf.DUMMYFUNCTION("if(isblank(A2474),,split(A2474,""-""))"),"")</f>
        <v/>
      </c>
      <c r="K2474" s="13" t="str">
        <f>IFERROR(__xludf.DUMMYFUNCTION("if(isblank(B2474),,split(B2474,""-""))"),"")</f>
        <v/>
      </c>
    </row>
    <row r="2475">
      <c r="A2475" s="132"/>
      <c r="B2475" s="41"/>
      <c r="C2475" s="9"/>
      <c r="D2475" s="133"/>
      <c r="E2475" s="133"/>
      <c r="F2475" s="24"/>
      <c r="G2475" s="24"/>
      <c r="I2475" s="13" t="str">
        <f>IFERROR(__xludf.DUMMYFUNCTION("if(isblank(A2475),,split(A2475,""-""))"),"")</f>
        <v/>
      </c>
      <c r="K2475" s="13" t="str">
        <f>IFERROR(__xludf.DUMMYFUNCTION("if(isblank(B2475),,split(B2475,""-""))"),"")</f>
        <v/>
      </c>
    </row>
    <row r="2476">
      <c r="A2476" s="132"/>
      <c r="B2476" s="41"/>
      <c r="C2476" s="9"/>
      <c r="D2476" s="133"/>
      <c r="E2476" s="133"/>
      <c r="F2476" s="24"/>
      <c r="G2476" s="24"/>
      <c r="I2476" s="13" t="str">
        <f>IFERROR(__xludf.DUMMYFUNCTION("if(isblank(A2476),,split(A2476,""-""))"),"")</f>
        <v/>
      </c>
      <c r="K2476" s="13" t="str">
        <f>IFERROR(__xludf.DUMMYFUNCTION("if(isblank(B2476),,split(B2476,""-""))"),"")</f>
        <v/>
      </c>
    </row>
    <row r="2477">
      <c r="A2477" s="132"/>
      <c r="B2477" s="41"/>
      <c r="C2477" s="9"/>
      <c r="D2477" s="133"/>
      <c r="E2477" s="133"/>
      <c r="F2477" s="24"/>
      <c r="G2477" s="24"/>
      <c r="I2477" s="13" t="str">
        <f>IFERROR(__xludf.DUMMYFUNCTION("if(isblank(A2477),,split(A2477,""-""))"),"")</f>
        <v/>
      </c>
      <c r="K2477" s="13" t="str">
        <f>IFERROR(__xludf.DUMMYFUNCTION("if(isblank(B2477),,split(B2477,""-""))"),"")</f>
        <v/>
      </c>
    </row>
    <row r="2478">
      <c r="A2478" s="132"/>
      <c r="B2478" s="41"/>
      <c r="C2478" s="9"/>
      <c r="D2478" s="133"/>
      <c r="E2478" s="133"/>
      <c r="F2478" s="24"/>
      <c r="G2478" s="24"/>
      <c r="I2478" s="13" t="str">
        <f>IFERROR(__xludf.DUMMYFUNCTION("if(isblank(A2478),,split(A2478,""-""))"),"")</f>
        <v/>
      </c>
      <c r="K2478" s="13" t="str">
        <f>IFERROR(__xludf.DUMMYFUNCTION("if(isblank(B2478),,split(B2478,""-""))"),"")</f>
        <v/>
      </c>
    </row>
    <row r="2479">
      <c r="A2479" s="132"/>
      <c r="B2479" s="41"/>
      <c r="C2479" s="9"/>
      <c r="D2479" s="133"/>
      <c r="E2479" s="133"/>
      <c r="F2479" s="24"/>
      <c r="G2479" s="24"/>
      <c r="I2479" s="13" t="str">
        <f>IFERROR(__xludf.DUMMYFUNCTION("if(isblank(A2479),,split(A2479,""-""))"),"")</f>
        <v/>
      </c>
      <c r="K2479" s="13" t="str">
        <f>IFERROR(__xludf.DUMMYFUNCTION("if(isblank(B2479),,split(B2479,""-""))"),"")</f>
        <v/>
      </c>
    </row>
    <row r="2480">
      <c r="A2480" s="132"/>
      <c r="B2480" s="41"/>
      <c r="C2480" s="9"/>
      <c r="D2480" s="133"/>
      <c r="E2480" s="133"/>
      <c r="F2480" s="24"/>
      <c r="G2480" s="24"/>
      <c r="I2480" s="13" t="str">
        <f>IFERROR(__xludf.DUMMYFUNCTION("if(isblank(A2480),,split(A2480,""-""))"),"")</f>
        <v/>
      </c>
      <c r="K2480" s="13" t="str">
        <f>IFERROR(__xludf.DUMMYFUNCTION("if(isblank(B2480),,split(B2480,""-""))"),"")</f>
        <v/>
      </c>
    </row>
    <row r="2481">
      <c r="A2481" s="132"/>
      <c r="B2481" s="41"/>
      <c r="C2481" s="9"/>
      <c r="D2481" s="133"/>
      <c r="E2481" s="133"/>
      <c r="F2481" s="24"/>
      <c r="G2481" s="24"/>
      <c r="I2481" s="13" t="str">
        <f>IFERROR(__xludf.DUMMYFUNCTION("if(isblank(A2481),,split(A2481,""-""))"),"")</f>
        <v/>
      </c>
      <c r="K2481" s="13" t="str">
        <f>IFERROR(__xludf.DUMMYFUNCTION("if(isblank(B2481),,split(B2481,""-""))"),"")</f>
        <v/>
      </c>
    </row>
    <row r="2482">
      <c r="A2482" s="132"/>
      <c r="B2482" s="41"/>
      <c r="C2482" s="9"/>
      <c r="D2482" s="133"/>
      <c r="E2482" s="133"/>
      <c r="F2482" s="24"/>
      <c r="G2482" s="24"/>
      <c r="I2482" s="13" t="str">
        <f>IFERROR(__xludf.DUMMYFUNCTION("if(isblank(A2482),,split(A2482,""-""))"),"")</f>
        <v/>
      </c>
      <c r="K2482" s="13" t="str">
        <f>IFERROR(__xludf.DUMMYFUNCTION("if(isblank(B2482),,split(B2482,""-""))"),"")</f>
        <v/>
      </c>
    </row>
    <row r="2483">
      <c r="A2483" s="132"/>
      <c r="B2483" s="41"/>
      <c r="C2483" s="9"/>
      <c r="D2483" s="133"/>
      <c r="E2483" s="133"/>
      <c r="F2483" s="24"/>
      <c r="G2483" s="24"/>
      <c r="I2483" s="13" t="str">
        <f>IFERROR(__xludf.DUMMYFUNCTION("if(isblank(A2483),,split(A2483,""-""))"),"")</f>
        <v/>
      </c>
      <c r="K2483" s="13" t="str">
        <f>IFERROR(__xludf.DUMMYFUNCTION("if(isblank(B2483),,split(B2483,""-""))"),"")</f>
        <v/>
      </c>
    </row>
    <row r="2484">
      <c r="A2484" s="132"/>
      <c r="B2484" s="41"/>
      <c r="C2484" s="9"/>
      <c r="D2484" s="133"/>
      <c r="E2484" s="133"/>
      <c r="F2484" s="24"/>
      <c r="G2484" s="24"/>
      <c r="I2484" s="13" t="str">
        <f>IFERROR(__xludf.DUMMYFUNCTION("if(isblank(A2484),,split(A2484,""-""))"),"")</f>
        <v/>
      </c>
      <c r="K2484" s="13" t="str">
        <f>IFERROR(__xludf.DUMMYFUNCTION("if(isblank(B2484),,split(B2484,""-""))"),"")</f>
        <v/>
      </c>
    </row>
    <row r="2485">
      <c r="A2485" s="132"/>
      <c r="B2485" s="41"/>
      <c r="C2485" s="9"/>
      <c r="D2485" s="133"/>
      <c r="E2485" s="133"/>
      <c r="F2485" s="24"/>
      <c r="G2485" s="24"/>
      <c r="I2485" s="13" t="str">
        <f>IFERROR(__xludf.DUMMYFUNCTION("if(isblank(A2485),,split(A2485,""-""))"),"")</f>
        <v/>
      </c>
      <c r="K2485" s="13" t="str">
        <f>IFERROR(__xludf.DUMMYFUNCTION("if(isblank(B2485),,split(B2485,""-""))"),"")</f>
        <v/>
      </c>
    </row>
    <row r="2486">
      <c r="A2486" s="132"/>
      <c r="B2486" s="41"/>
      <c r="C2486" s="9"/>
      <c r="D2486" s="133"/>
      <c r="E2486" s="133"/>
      <c r="F2486" s="24"/>
      <c r="G2486" s="24"/>
      <c r="I2486" s="13" t="str">
        <f>IFERROR(__xludf.DUMMYFUNCTION("if(isblank(A2486),,split(A2486,""-""))"),"")</f>
        <v/>
      </c>
      <c r="K2486" s="13" t="str">
        <f>IFERROR(__xludf.DUMMYFUNCTION("if(isblank(B2486),,split(B2486,""-""))"),"")</f>
        <v/>
      </c>
    </row>
    <row r="2487">
      <c r="A2487" s="132"/>
      <c r="B2487" s="41"/>
      <c r="C2487" s="9"/>
      <c r="D2487" s="133"/>
      <c r="E2487" s="133"/>
      <c r="F2487" s="24"/>
      <c r="G2487" s="24"/>
      <c r="I2487" s="13" t="str">
        <f>IFERROR(__xludf.DUMMYFUNCTION("if(isblank(A2487),,split(A2487,""-""))"),"")</f>
        <v/>
      </c>
      <c r="K2487" s="13" t="str">
        <f>IFERROR(__xludf.DUMMYFUNCTION("if(isblank(B2487),,split(B2487,""-""))"),"")</f>
        <v/>
      </c>
    </row>
    <row r="2488">
      <c r="A2488" s="132"/>
      <c r="B2488" s="41"/>
      <c r="C2488" s="9"/>
      <c r="D2488" s="133"/>
      <c r="E2488" s="133"/>
      <c r="F2488" s="24"/>
      <c r="G2488" s="24"/>
      <c r="I2488" s="13" t="str">
        <f>IFERROR(__xludf.DUMMYFUNCTION("if(isblank(A2488),,split(A2488,""-""))"),"")</f>
        <v/>
      </c>
      <c r="K2488" s="13" t="str">
        <f>IFERROR(__xludf.DUMMYFUNCTION("if(isblank(B2488),,split(B2488,""-""))"),"")</f>
        <v/>
      </c>
    </row>
    <row r="2489">
      <c r="A2489" s="132"/>
      <c r="B2489" s="41"/>
      <c r="C2489" s="9"/>
      <c r="D2489" s="133"/>
      <c r="E2489" s="133"/>
      <c r="F2489" s="24"/>
      <c r="G2489" s="24"/>
      <c r="I2489" s="13" t="str">
        <f>IFERROR(__xludf.DUMMYFUNCTION("if(isblank(A2489),,split(A2489,""-""))"),"")</f>
        <v/>
      </c>
      <c r="K2489" s="13" t="str">
        <f>IFERROR(__xludf.DUMMYFUNCTION("if(isblank(B2489),,split(B2489,""-""))"),"")</f>
        <v/>
      </c>
    </row>
    <row r="2490">
      <c r="A2490" s="132"/>
      <c r="B2490" s="41"/>
      <c r="C2490" s="9"/>
      <c r="D2490" s="133"/>
      <c r="E2490" s="133"/>
      <c r="F2490" s="24"/>
      <c r="G2490" s="24"/>
      <c r="I2490" s="13" t="str">
        <f>IFERROR(__xludf.DUMMYFUNCTION("if(isblank(A2490),,split(A2490,""-""))"),"")</f>
        <v/>
      </c>
      <c r="K2490" s="13" t="str">
        <f>IFERROR(__xludf.DUMMYFUNCTION("if(isblank(B2490),,split(B2490,""-""))"),"")</f>
        <v/>
      </c>
    </row>
    <row r="2491">
      <c r="A2491" s="132"/>
      <c r="B2491" s="41"/>
      <c r="C2491" s="9"/>
      <c r="D2491" s="133"/>
      <c r="E2491" s="133"/>
      <c r="F2491" s="24"/>
      <c r="G2491" s="24"/>
      <c r="I2491" s="13" t="str">
        <f>IFERROR(__xludf.DUMMYFUNCTION("if(isblank(A2491),,split(A2491,""-""))"),"")</f>
        <v/>
      </c>
      <c r="K2491" s="13" t="str">
        <f>IFERROR(__xludf.DUMMYFUNCTION("if(isblank(B2491),,split(B2491,""-""))"),"")</f>
        <v/>
      </c>
    </row>
    <row r="2492">
      <c r="A2492" s="132"/>
      <c r="B2492" s="41"/>
      <c r="C2492" s="9"/>
      <c r="D2492" s="133"/>
      <c r="E2492" s="133"/>
      <c r="F2492" s="24"/>
      <c r="G2492" s="24"/>
      <c r="I2492" s="13" t="str">
        <f>IFERROR(__xludf.DUMMYFUNCTION("if(isblank(A2492),,split(A2492,""-""))"),"")</f>
        <v/>
      </c>
      <c r="K2492" s="13" t="str">
        <f>IFERROR(__xludf.DUMMYFUNCTION("if(isblank(B2492),,split(B2492,""-""))"),"")</f>
        <v/>
      </c>
    </row>
    <row r="2493">
      <c r="A2493" s="132"/>
      <c r="B2493" s="41"/>
      <c r="C2493" s="9"/>
      <c r="D2493" s="133"/>
      <c r="E2493" s="133"/>
      <c r="F2493" s="24"/>
      <c r="G2493" s="24"/>
      <c r="I2493" s="13" t="str">
        <f>IFERROR(__xludf.DUMMYFUNCTION("if(isblank(A2493),,split(A2493,""-""))"),"")</f>
        <v/>
      </c>
      <c r="K2493" s="13" t="str">
        <f>IFERROR(__xludf.DUMMYFUNCTION("if(isblank(B2493),,split(B2493,""-""))"),"")</f>
        <v/>
      </c>
    </row>
    <row r="2494">
      <c r="A2494" s="132"/>
      <c r="B2494" s="41"/>
      <c r="C2494" s="9"/>
      <c r="D2494" s="133"/>
      <c r="E2494" s="133"/>
      <c r="F2494" s="24"/>
      <c r="G2494" s="24"/>
      <c r="I2494" s="13" t="str">
        <f>IFERROR(__xludf.DUMMYFUNCTION("if(isblank(A2494),,split(A2494,""-""))"),"")</f>
        <v/>
      </c>
      <c r="K2494" s="13" t="str">
        <f>IFERROR(__xludf.DUMMYFUNCTION("if(isblank(B2494),,split(B2494,""-""))"),"")</f>
        <v/>
      </c>
    </row>
    <row r="2495">
      <c r="A2495" s="132"/>
      <c r="B2495" s="41"/>
      <c r="C2495" s="9"/>
      <c r="D2495" s="133"/>
      <c r="E2495" s="133"/>
      <c r="F2495" s="24"/>
      <c r="G2495" s="24"/>
      <c r="I2495" s="13" t="str">
        <f>IFERROR(__xludf.DUMMYFUNCTION("if(isblank(A2495),,split(A2495,""-""))"),"")</f>
        <v/>
      </c>
      <c r="K2495" s="13" t="str">
        <f>IFERROR(__xludf.DUMMYFUNCTION("if(isblank(B2495),,split(B2495,""-""))"),"")</f>
        <v/>
      </c>
    </row>
    <row r="2496">
      <c r="A2496" s="132"/>
      <c r="B2496" s="41"/>
      <c r="C2496" s="9"/>
      <c r="D2496" s="133"/>
      <c r="E2496" s="133"/>
      <c r="F2496" s="24"/>
      <c r="G2496" s="24"/>
      <c r="I2496" s="13" t="str">
        <f>IFERROR(__xludf.DUMMYFUNCTION("if(isblank(A2496),,split(A2496,""-""))"),"")</f>
        <v/>
      </c>
      <c r="K2496" s="13" t="str">
        <f>IFERROR(__xludf.DUMMYFUNCTION("if(isblank(B2496),,split(B2496,""-""))"),"")</f>
        <v/>
      </c>
    </row>
    <row r="2497">
      <c r="A2497" s="132"/>
      <c r="B2497" s="41"/>
      <c r="C2497" s="9"/>
      <c r="D2497" s="133"/>
      <c r="E2497" s="133"/>
      <c r="F2497" s="24"/>
      <c r="G2497" s="24"/>
      <c r="I2497" s="13" t="str">
        <f>IFERROR(__xludf.DUMMYFUNCTION("if(isblank(A2497),,split(A2497,""-""))"),"")</f>
        <v/>
      </c>
      <c r="K2497" s="13" t="str">
        <f>IFERROR(__xludf.DUMMYFUNCTION("if(isblank(B2497),,split(B2497,""-""))"),"")</f>
        <v/>
      </c>
    </row>
    <row r="2498">
      <c r="A2498" s="132"/>
      <c r="B2498" s="41"/>
      <c r="C2498" s="9"/>
      <c r="D2498" s="133"/>
      <c r="E2498" s="133"/>
      <c r="F2498" s="24"/>
      <c r="G2498" s="24"/>
      <c r="I2498" s="13" t="str">
        <f>IFERROR(__xludf.DUMMYFUNCTION("if(isblank(A2498),,split(A2498,""-""))"),"")</f>
        <v/>
      </c>
      <c r="K2498" s="13" t="str">
        <f>IFERROR(__xludf.DUMMYFUNCTION("if(isblank(B2498),,split(B2498,""-""))"),"")</f>
        <v/>
      </c>
    </row>
    <row r="2499">
      <c r="A2499" s="132"/>
      <c r="B2499" s="41"/>
      <c r="C2499" s="9"/>
      <c r="D2499" s="133"/>
      <c r="E2499" s="133"/>
      <c r="F2499" s="24"/>
      <c r="G2499" s="24"/>
      <c r="I2499" s="13" t="str">
        <f>IFERROR(__xludf.DUMMYFUNCTION("if(isblank(A2499),,split(A2499,""-""))"),"")</f>
        <v/>
      </c>
      <c r="K2499" s="13" t="str">
        <f>IFERROR(__xludf.DUMMYFUNCTION("if(isblank(B2499),,split(B2499,""-""))"),"")</f>
        <v/>
      </c>
    </row>
    <row r="2500">
      <c r="A2500" s="132"/>
      <c r="B2500" s="41"/>
      <c r="C2500" s="9"/>
      <c r="D2500" s="133"/>
      <c r="E2500" s="133"/>
      <c r="F2500" s="24"/>
      <c r="G2500" s="24"/>
      <c r="I2500" s="13" t="str">
        <f>IFERROR(__xludf.DUMMYFUNCTION("if(isblank(A2500),,split(A2500,""-""))"),"")</f>
        <v/>
      </c>
      <c r="K2500" s="13" t="str">
        <f>IFERROR(__xludf.DUMMYFUNCTION("if(isblank(B2500),,split(B2500,""-""))"),"")</f>
        <v/>
      </c>
    </row>
    <row r="2501">
      <c r="A2501" s="132"/>
      <c r="B2501" s="41"/>
      <c r="C2501" s="9"/>
      <c r="D2501" s="133"/>
      <c r="E2501" s="133"/>
      <c r="F2501" s="24"/>
      <c r="G2501" s="24"/>
      <c r="I2501" s="13" t="str">
        <f>IFERROR(__xludf.DUMMYFUNCTION("if(isblank(A2501),,split(A2501,""-""))"),"")</f>
        <v/>
      </c>
      <c r="K2501" s="13" t="str">
        <f>IFERROR(__xludf.DUMMYFUNCTION("if(isblank(B2501),,split(B2501,""-""))"),"")</f>
        <v/>
      </c>
    </row>
    <row r="2502">
      <c r="A2502" s="132"/>
      <c r="B2502" s="41"/>
      <c r="C2502" s="9"/>
      <c r="D2502" s="133"/>
      <c r="E2502" s="133"/>
      <c r="F2502" s="24"/>
      <c r="G2502" s="24"/>
      <c r="I2502" s="13" t="str">
        <f>IFERROR(__xludf.DUMMYFUNCTION("if(isblank(A2502),,split(A2502,""-""))"),"")</f>
        <v/>
      </c>
      <c r="K2502" s="13" t="str">
        <f>IFERROR(__xludf.DUMMYFUNCTION("if(isblank(B2502),,split(B2502,""-""))"),"")</f>
        <v/>
      </c>
    </row>
    <row r="2503">
      <c r="A2503" s="132"/>
      <c r="B2503" s="41"/>
      <c r="C2503" s="9"/>
      <c r="D2503" s="133"/>
      <c r="E2503" s="133"/>
      <c r="F2503" s="24"/>
      <c r="G2503" s="24"/>
      <c r="I2503" s="13" t="str">
        <f>IFERROR(__xludf.DUMMYFUNCTION("if(isblank(A2503),,split(A2503,""-""))"),"")</f>
        <v/>
      </c>
      <c r="K2503" s="13" t="str">
        <f>IFERROR(__xludf.DUMMYFUNCTION("if(isblank(B2503),,split(B2503,""-""))"),"")</f>
        <v/>
      </c>
    </row>
    <row r="2504">
      <c r="A2504" s="132"/>
      <c r="B2504" s="41"/>
      <c r="C2504" s="9"/>
      <c r="D2504" s="133"/>
      <c r="E2504" s="133"/>
      <c r="F2504" s="24"/>
      <c r="G2504" s="24"/>
      <c r="I2504" s="13" t="str">
        <f>IFERROR(__xludf.DUMMYFUNCTION("if(isblank(A2504),,split(A2504,""-""))"),"")</f>
        <v/>
      </c>
      <c r="K2504" s="13" t="str">
        <f>IFERROR(__xludf.DUMMYFUNCTION("if(isblank(B2504),,split(B2504,""-""))"),"")</f>
        <v/>
      </c>
    </row>
    <row r="2505">
      <c r="A2505" s="132"/>
      <c r="B2505" s="41"/>
      <c r="C2505" s="9"/>
      <c r="D2505" s="133"/>
      <c r="E2505" s="133"/>
      <c r="F2505" s="24"/>
      <c r="G2505" s="24"/>
      <c r="I2505" s="13" t="str">
        <f>IFERROR(__xludf.DUMMYFUNCTION("if(isblank(A2505),,split(A2505,""-""))"),"")</f>
        <v/>
      </c>
      <c r="K2505" s="13" t="str">
        <f>IFERROR(__xludf.DUMMYFUNCTION("if(isblank(B2505),,split(B2505,""-""))"),"")</f>
        <v/>
      </c>
    </row>
    <row r="2506">
      <c r="A2506" s="132"/>
      <c r="B2506" s="41"/>
      <c r="C2506" s="9"/>
      <c r="D2506" s="133"/>
      <c r="E2506" s="133"/>
      <c r="F2506" s="24"/>
      <c r="G2506" s="24"/>
      <c r="I2506" s="13" t="str">
        <f>IFERROR(__xludf.DUMMYFUNCTION("if(isblank(A2506),,split(A2506,""-""))"),"")</f>
        <v/>
      </c>
      <c r="K2506" s="13" t="str">
        <f>IFERROR(__xludf.DUMMYFUNCTION("if(isblank(B2506),,split(B2506,""-""))"),"")</f>
        <v/>
      </c>
    </row>
    <row r="2507">
      <c r="A2507" s="132"/>
      <c r="B2507" s="41"/>
      <c r="C2507" s="9"/>
      <c r="D2507" s="133"/>
      <c r="E2507" s="133"/>
      <c r="F2507" s="24"/>
      <c r="G2507" s="24"/>
      <c r="I2507" s="13" t="str">
        <f>IFERROR(__xludf.DUMMYFUNCTION("if(isblank(A2507),,split(A2507,""-""))"),"")</f>
        <v/>
      </c>
      <c r="K2507" s="13" t="str">
        <f>IFERROR(__xludf.DUMMYFUNCTION("if(isblank(B2507),,split(B2507,""-""))"),"")</f>
        <v/>
      </c>
    </row>
    <row r="2508">
      <c r="A2508" s="132"/>
      <c r="B2508" s="41"/>
      <c r="C2508" s="9"/>
      <c r="D2508" s="133"/>
      <c r="E2508" s="133"/>
      <c r="F2508" s="24"/>
      <c r="G2508" s="24"/>
      <c r="I2508" s="13" t="str">
        <f>IFERROR(__xludf.DUMMYFUNCTION("if(isblank(A2508),,split(A2508,""-""))"),"")</f>
        <v/>
      </c>
      <c r="K2508" s="13" t="str">
        <f>IFERROR(__xludf.DUMMYFUNCTION("if(isblank(B2508),,split(B2508,""-""))"),"")</f>
        <v/>
      </c>
    </row>
    <row r="2509">
      <c r="A2509" s="132"/>
      <c r="B2509" s="41"/>
      <c r="C2509" s="9"/>
      <c r="D2509" s="133"/>
      <c r="E2509" s="133"/>
      <c r="F2509" s="24"/>
      <c r="G2509" s="24"/>
      <c r="I2509" s="13" t="str">
        <f>IFERROR(__xludf.DUMMYFUNCTION("if(isblank(A2509),,split(A2509,""-""))"),"")</f>
        <v/>
      </c>
      <c r="K2509" s="13" t="str">
        <f>IFERROR(__xludf.DUMMYFUNCTION("if(isblank(B2509),,split(B2509,""-""))"),"")</f>
        <v/>
      </c>
    </row>
    <row r="2510">
      <c r="A2510" s="132"/>
      <c r="B2510" s="41"/>
      <c r="C2510" s="9"/>
      <c r="D2510" s="133"/>
      <c r="E2510" s="133"/>
      <c r="F2510" s="24"/>
      <c r="G2510" s="24"/>
      <c r="I2510" s="13" t="str">
        <f>IFERROR(__xludf.DUMMYFUNCTION("if(isblank(A2510),,split(A2510,""-""))"),"")</f>
        <v/>
      </c>
      <c r="K2510" s="13" t="str">
        <f>IFERROR(__xludf.DUMMYFUNCTION("if(isblank(B2510),,split(B2510,""-""))"),"")</f>
        <v/>
      </c>
    </row>
    <row r="2511">
      <c r="A2511" s="132"/>
      <c r="B2511" s="41"/>
      <c r="C2511" s="9"/>
      <c r="D2511" s="133"/>
      <c r="E2511" s="133"/>
      <c r="F2511" s="24"/>
      <c r="G2511" s="24"/>
      <c r="I2511" s="13" t="str">
        <f>IFERROR(__xludf.DUMMYFUNCTION("if(isblank(A2511),,split(A2511,""-""))"),"")</f>
        <v/>
      </c>
      <c r="K2511" s="13" t="str">
        <f>IFERROR(__xludf.DUMMYFUNCTION("if(isblank(B2511),,split(B2511,""-""))"),"")</f>
        <v/>
      </c>
    </row>
    <row r="2512">
      <c r="A2512" s="132"/>
      <c r="B2512" s="41"/>
      <c r="C2512" s="9"/>
      <c r="D2512" s="133"/>
      <c r="E2512" s="133"/>
      <c r="F2512" s="24"/>
      <c r="G2512" s="24"/>
      <c r="I2512" s="13" t="str">
        <f>IFERROR(__xludf.DUMMYFUNCTION("if(isblank(A2512),,split(A2512,""-""))"),"")</f>
        <v/>
      </c>
      <c r="K2512" s="13" t="str">
        <f>IFERROR(__xludf.DUMMYFUNCTION("if(isblank(B2512),,split(B2512,""-""))"),"")</f>
        <v/>
      </c>
    </row>
    <row r="2513">
      <c r="A2513" s="132"/>
      <c r="B2513" s="41"/>
      <c r="C2513" s="9"/>
      <c r="D2513" s="133"/>
      <c r="E2513" s="133"/>
      <c r="F2513" s="24"/>
      <c r="G2513" s="24"/>
      <c r="I2513" s="13" t="str">
        <f>IFERROR(__xludf.DUMMYFUNCTION("if(isblank(A2513),,split(A2513,""-""))"),"")</f>
        <v/>
      </c>
      <c r="K2513" s="13" t="str">
        <f>IFERROR(__xludf.DUMMYFUNCTION("if(isblank(B2513),,split(B2513,""-""))"),"")</f>
        <v/>
      </c>
    </row>
    <row r="2514">
      <c r="A2514" s="132"/>
      <c r="B2514" s="41"/>
      <c r="C2514" s="9"/>
      <c r="D2514" s="133"/>
      <c r="E2514" s="133"/>
      <c r="F2514" s="24"/>
      <c r="G2514" s="24"/>
      <c r="I2514" s="13" t="str">
        <f>IFERROR(__xludf.DUMMYFUNCTION("if(isblank(A2514),,split(A2514,""-""))"),"")</f>
        <v/>
      </c>
      <c r="K2514" s="13" t="str">
        <f>IFERROR(__xludf.DUMMYFUNCTION("if(isblank(B2514),,split(B2514,""-""))"),"")</f>
        <v/>
      </c>
    </row>
    <row r="2515">
      <c r="A2515" s="132"/>
      <c r="B2515" s="41"/>
      <c r="C2515" s="9"/>
      <c r="D2515" s="133"/>
      <c r="E2515" s="133"/>
      <c r="F2515" s="24"/>
      <c r="G2515" s="24"/>
      <c r="I2515" s="13" t="str">
        <f>IFERROR(__xludf.DUMMYFUNCTION("if(isblank(A2515),,split(A2515,""-""))"),"")</f>
        <v/>
      </c>
      <c r="K2515" s="13" t="str">
        <f>IFERROR(__xludf.DUMMYFUNCTION("if(isblank(B2515),,split(B2515,""-""))"),"")</f>
        <v/>
      </c>
    </row>
    <row r="2516">
      <c r="A2516" s="132"/>
      <c r="B2516" s="41"/>
      <c r="C2516" s="9"/>
      <c r="D2516" s="133"/>
      <c r="E2516" s="133"/>
      <c r="F2516" s="24"/>
      <c r="G2516" s="24"/>
      <c r="I2516" s="13" t="str">
        <f>IFERROR(__xludf.DUMMYFUNCTION("if(isblank(A2516),,split(A2516,""-""))"),"")</f>
        <v/>
      </c>
      <c r="K2516" s="13" t="str">
        <f>IFERROR(__xludf.DUMMYFUNCTION("if(isblank(B2516),,split(B2516,""-""))"),"")</f>
        <v/>
      </c>
    </row>
    <row r="2517">
      <c r="A2517" s="132"/>
      <c r="B2517" s="41"/>
      <c r="C2517" s="9"/>
      <c r="D2517" s="133"/>
      <c r="E2517" s="133"/>
      <c r="F2517" s="24"/>
      <c r="G2517" s="24"/>
      <c r="I2517" s="13" t="str">
        <f>IFERROR(__xludf.DUMMYFUNCTION("if(isblank(A2517),,split(A2517,""-""))"),"")</f>
        <v/>
      </c>
      <c r="K2517" s="13" t="str">
        <f>IFERROR(__xludf.DUMMYFUNCTION("if(isblank(B2517),,split(B2517,""-""))"),"")</f>
        <v/>
      </c>
    </row>
    <row r="2518">
      <c r="A2518" s="132"/>
      <c r="B2518" s="41"/>
      <c r="C2518" s="9"/>
      <c r="D2518" s="133"/>
      <c r="E2518" s="133"/>
      <c r="F2518" s="24"/>
      <c r="G2518" s="24"/>
      <c r="I2518" s="13" t="str">
        <f>IFERROR(__xludf.DUMMYFUNCTION("if(isblank(A2518),,split(A2518,""-""))"),"")</f>
        <v/>
      </c>
      <c r="K2518" s="13" t="str">
        <f>IFERROR(__xludf.DUMMYFUNCTION("if(isblank(B2518),,split(B2518,""-""))"),"")</f>
        <v/>
      </c>
    </row>
    <row r="2519">
      <c r="A2519" s="132"/>
      <c r="B2519" s="41"/>
      <c r="C2519" s="9"/>
      <c r="D2519" s="133"/>
      <c r="E2519" s="133"/>
      <c r="F2519" s="24"/>
      <c r="G2519" s="24"/>
      <c r="I2519" s="13" t="str">
        <f>IFERROR(__xludf.DUMMYFUNCTION("if(isblank(A2519),,split(A2519,""-""))"),"")</f>
        <v/>
      </c>
      <c r="K2519" s="13" t="str">
        <f>IFERROR(__xludf.DUMMYFUNCTION("if(isblank(B2519),,split(B2519,""-""))"),"")</f>
        <v/>
      </c>
    </row>
    <row r="2520">
      <c r="A2520" s="132"/>
      <c r="B2520" s="41"/>
      <c r="C2520" s="9"/>
      <c r="D2520" s="133"/>
      <c r="E2520" s="133"/>
      <c r="F2520" s="24"/>
      <c r="G2520" s="24"/>
      <c r="I2520" s="13" t="str">
        <f>IFERROR(__xludf.DUMMYFUNCTION("if(isblank(A2520),,split(A2520,""-""))"),"")</f>
        <v/>
      </c>
      <c r="K2520" s="13" t="str">
        <f>IFERROR(__xludf.DUMMYFUNCTION("if(isblank(B2520),,split(B2520,""-""))"),"")</f>
        <v/>
      </c>
    </row>
    <row r="2521">
      <c r="A2521" s="132"/>
      <c r="B2521" s="41"/>
      <c r="C2521" s="9"/>
      <c r="D2521" s="133"/>
      <c r="E2521" s="133"/>
      <c r="F2521" s="24"/>
      <c r="G2521" s="24"/>
      <c r="I2521" s="13" t="str">
        <f>IFERROR(__xludf.DUMMYFUNCTION("if(isblank(A2521),,split(A2521,""-""))"),"")</f>
        <v/>
      </c>
      <c r="K2521" s="13" t="str">
        <f>IFERROR(__xludf.DUMMYFUNCTION("if(isblank(B2521),,split(B2521,""-""))"),"")</f>
        <v/>
      </c>
    </row>
    <row r="2522">
      <c r="A2522" s="132"/>
      <c r="B2522" s="41"/>
      <c r="C2522" s="9"/>
      <c r="D2522" s="133"/>
      <c r="E2522" s="133"/>
      <c r="F2522" s="24"/>
      <c r="G2522" s="24"/>
      <c r="I2522" s="13" t="str">
        <f>IFERROR(__xludf.DUMMYFUNCTION("if(isblank(A2522),,split(A2522,""-""))"),"")</f>
        <v/>
      </c>
      <c r="K2522" s="13" t="str">
        <f>IFERROR(__xludf.DUMMYFUNCTION("if(isblank(B2522),,split(B2522,""-""))"),"")</f>
        <v/>
      </c>
    </row>
    <row r="2523">
      <c r="A2523" s="132"/>
      <c r="B2523" s="41"/>
      <c r="C2523" s="9"/>
      <c r="D2523" s="133"/>
      <c r="E2523" s="133"/>
      <c r="F2523" s="24"/>
      <c r="G2523" s="24"/>
      <c r="I2523" s="13" t="str">
        <f>IFERROR(__xludf.DUMMYFUNCTION("if(isblank(A2523),,split(A2523,""-""))"),"")</f>
        <v/>
      </c>
      <c r="K2523" s="13" t="str">
        <f>IFERROR(__xludf.DUMMYFUNCTION("if(isblank(B2523),,split(B2523,""-""))"),"")</f>
        <v/>
      </c>
    </row>
    <row r="2524">
      <c r="A2524" s="132"/>
      <c r="B2524" s="41"/>
      <c r="C2524" s="9"/>
      <c r="D2524" s="133"/>
      <c r="E2524" s="133"/>
      <c r="F2524" s="24"/>
      <c r="G2524" s="24"/>
      <c r="I2524" s="13" t="str">
        <f>IFERROR(__xludf.DUMMYFUNCTION("if(isblank(A2524),,split(A2524,""-""))"),"")</f>
        <v/>
      </c>
      <c r="K2524" s="13" t="str">
        <f>IFERROR(__xludf.DUMMYFUNCTION("if(isblank(B2524),,split(B2524,""-""))"),"")</f>
        <v/>
      </c>
    </row>
    <row r="2525">
      <c r="A2525" s="132"/>
      <c r="B2525" s="41"/>
      <c r="C2525" s="9"/>
      <c r="D2525" s="133"/>
      <c r="E2525" s="133"/>
      <c r="F2525" s="24"/>
      <c r="G2525" s="24"/>
      <c r="I2525" s="13" t="str">
        <f>IFERROR(__xludf.DUMMYFUNCTION("if(isblank(A2525),,split(A2525,""-""))"),"")</f>
        <v/>
      </c>
      <c r="K2525" s="13" t="str">
        <f>IFERROR(__xludf.DUMMYFUNCTION("if(isblank(B2525),,split(B2525,""-""))"),"")</f>
        <v/>
      </c>
    </row>
    <row r="2526">
      <c r="A2526" s="132"/>
      <c r="B2526" s="41"/>
      <c r="C2526" s="9"/>
      <c r="D2526" s="133"/>
      <c r="E2526" s="133"/>
      <c r="F2526" s="24"/>
      <c r="G2526" s="24"/>
      <c r="I2526" s="13" t="str">
        <f>IFERROR(__xludf.DUMMYFUNCTION("if(isblank(A2526),,split(A2526,""-""))"),"")</f>
        <v/>
      </c>
      <c r="K2526" s="13" t="str">
        <f>IFERROR(__xludf.DUMMYFUNCTION("if(isblank(B2526),,split(B2526,""-""))"),"")</f>
        <v/>
      </c>
    </row>
    <row r="2527">
      <c r="A2527" s="132"/>
      <c r="B2527" s="41"/>
      <c r="C2527" s="9"/>
      <c r="D2527" s="133"/>
      <c r="E2527" s="133"/>
      <c r="F2527" s="24"/>
      <c r="G2527" s="24"/>
      <c r="I2527" s="13" t="str">
        <f>IFERROR(__xludf.DUMMYFUNCTION("if(isblank(A2527),,split(A2527,""-""))"),"")</f>
        <v/>
      </c>
      <c r="K2527" s="13" t="str">
        <f>IFERROR(__xludf.DUMMYFUNCTION("if(isblank(B2527),,split(B2527,""-""))"),"")</f>
        <v/>
      </c>
    </row>
    <row r="2528">
      <c r="A2528" s="132"/>
      <c r="B2528" s="41"/>
      <c r="C2528" s="9"/>
      <c r="D2528" s="133"/>
      <c r="E2528" s="133"/>
      <c r="F2528" s="24"/>
      <c r="G2528" s="24"/>
      <c r="I2528" s="13" t="str">
        <f>IFERROR(__xludf.DUMMYFUNCTION("if(isblank(A2528),,split(A2528,""-""))"),"")</f>
        <v/>
      </c>
      <c r="K2528" s="13" t="str">
        <f>IFERROR(__xludf.DUMMYFUNCTION("if(isblank(B2528),,split(B2528,""-""))"),"")</f>
        <v/>
      </c>
    </row>
    <row r="2529">
      <c r="A2529" s="132"/>
      <c r="B2529" s="41"/>
      <c r="C2529" s="9"/>
      <c r="D2529" s="133"/>
      <c r="E2529" s="133"/>
      <c r="F2529" s="24"/>
      <c r="G2529" s="24"/>
      <c r="I2529" s="13" t="str">
        <f>IFERROR(__xludf.DUMMYFUNCTION("if(isblank(A2529),,split(A2529,""-""))"),"")</f>
        <v/>
      </c>
      <c r="K2529" s="13" t="str">
        <f>IFERROR(__xludf.DUMMYFUNCTION("if(isblank(B2529),,split(B2529,""-""))"),"")</f>
        <v/>
      </c>
    </row>
    <row r="2530">
      <c r="A2530" s="132"/>
      <c r="B2530" s="41"/>
      <c r="C2530" s="9"/>
      <c r="D2530" s="133"/>
      <c r="E2530" s="133"/>
      <c r="F2530" s="24"/>
      <c r="G2530" s="24"/>
      <c r="I2530" s="13" t="str">
        <f>IFERROR(__xludf.DUMMYFUNCTION("if(isblank(A2530),,split(A2530,""-""))"),"")</f>
        <v/>
      </c>
      <c r="K2530" s="13" t="str">
        <f>IFERROR(__xludf.DUMMYFUNCTION("if(isblank(B2530),,split(B2530,""-""))"),"")</f>
        <v/>
      </c>
    </row>
    <row r="2531">
      <c r="A2531" s="132"/>
      <c r="B2531" s="41"/>
      <c r="C2531" s="9"/>
      <c r="D2531" s="133"/>
      <c r="E2531" s="133"/>
      <c r="F2531" s="24"/>
      <c r="G2531" s="24"/>
      <c r="I2531" s="13" t="str">
        <f>IFERROR(__xludf.DUMMYFUNCTION("if(isblank(A2531),,split(A2531,""-""))"),"")</f>
        <v/>
      </c>
      <c r="K2531" s="13" t="str">
        <f>IFERROR(__xludf.DUMMYFUNCTION("if(isblank(B2531),,split(B2531,""-""))"),"")</f>
        <v/>
      </c>
    </row>
    <row r="2532">
      <c r="A2532" s="132"/>
      <c r="B2532" s="41"/>
      <c r="C2532" s="9"/>
      <c r="D2532" s="133"/>
      <c r="E2532" s="133"/>
      <c r="F2532" s="24"/>
      <c r="G2532" s="24"/>
      <c r="I2532" s="13" t="str">
        <f>IFERROR(__xludf.DUMMYFUNCTION("if(isblank(A2532),,split(A2532,""-""))"),"")</f>
        <v/>
      </c>
      <c r="K2532" s="13" t="str">
        <f>IFERROR(__xludf.DUMMYFUNCTION("if(isblank(B2532),,split(B2532,""-""))"),"")</f>
        <v/>
      </c>
    </row>
    <row r="2533">
      <c r="A2533" s="132"/>
      <c r="B2533" s="41"/>
      <c r="C2533" s="9"/>
      <c r="D2533" s="133"/>
      <c r="E2533" s="133"/>
      <c r="F2533" s="24"/>
      <c r="G2533" s="24"/>
      <c r="I2533" s="13" t="str">
        <f>IFERROR(__xludf.DUMMYFUNCTION("if(isblank(A2533),,split(A2533,""-""))"),"")</f>
        <v/>
      </c>
      <c r="K2533" s="13" t="str">
        <f>IFERROR(__xludf.DUMMYFUNCTION("if(isblank(B2533),,split(B2533,""-""))"),"")</f>
        <v/>
      </c>
    </row>
    <row r="2534">
      <c r="A2534" s="132"/>
      <c r="B2534" s="41"/>
      <c r="C2534" s="9"/>
      <c r="D2534" s="133"/>
      <c r="E2534" s="133"/>
      <c r="F2534" s="24"/>
      <c r="G2534" s="24"/>
      <c r="I2534" s="13" t="str">
        <f>IFERROR(__xludf.DUMMYFUNCTION("if(isblank(A2534),,split(A2534,""-""))"),"")</f>
        <v/>
      </c>
      <c r="K2534" s="13" t="str">
        <f>IFERROR(__xludf.DUMMYFUNCTION("if(isblank(B2534),,split(B2534,""-""))"),"")</f>
        <v/>
      </c>
    </row>
    <row r="2535">
      <c r="A2535" s="132"/>
      <c r="B2535" s="41"/>
      <c r="C2535" s="9"/>
      <c r="D2535" s="133"/>
      <c r="E2535" s="133"/>
      <c r="F2535" s="24"/>
      <c r="G2535" s="24"/>
      <c r="I2535" s="13" t="str">
        <f>IFERROR(__xludf.DUMMYFUNCTION("if(isblank(A2535),,split(A2535,""-""))"),"")</f>
        <v/>
      </c>
      <c r="K2535" s="13" t="str">
        <f>IFERROR(__xludf.DUMMYFUNCTION("if(isblank(B2535),,split(B2535,""-""))"),"")</f>
        <v/>
      </c>
    </row>
    <row r="2536">
      <c r="A2536" s="132"/>
      <c r="B2536" s="41"/>
      <c r="C2536" s="9"/>
      <c r="D2536" s="133"/>
      <c r="E2536" s="133"/>
      <c r="F2536" s="24"/>
      <c r="G2536" s="24"/>
      <c r="I2536" s="13" t="str">
        <f>IFERROR(__xludf.DUMMYFUNCTION("if(isblank(A2536),,split(A2536,""-""))"),"")</f>
        <v/>
      </c>
      <c r="K2536" s="13" t="str">
        <f>IFERROR(__xludf.DUMMYFUNCTION("if(isblank(B2536),,split(B2536,""-""))"),"")</f>
        <v/>
      </c>
    </row>
    <row r="2537">
      <c r="A2537" s="132"/>
      <c r="B2537" s="41"/>
      <c r="C2537" s="9"/>
      <c r="D2537" s="133"/>
      <c r="E2537" s="133"/>
      <c r="F2537" s="24"/>
      <c r="G2537" s="24"/>
      <c r="I2537" s="13" t="str">
        <f>IFERROR(__xludf.DUMMYFUNCTION("if(isblank(A2537),,split(A2537,""-""))"),"")</f>
        <v/>
      </c>
      <c r="K2537" s="13" t="str">
        <f>IFERROR(__xludf.DUMMYFUNCTION("if(isblank(B2537),,split(B2537,""-""))"),"")</f>
        <v/>
      </c>
    </row>
    <row r="2538">
      <c r="A2538" s="132"/>
      <c r="B2538" s="41"/>
      <c r="C2538" s="9"/>
      <c r="D2538" s="133"/>
      <c r="E2538" s="133"/>
      <c r="F2538" s="24"/>
      <c r="G2538" s="24"/>
      <c r="I2538" s="13" t="str">
        <f>IFERROR(__xludf.DUMMYFUNCTION("if(isblank(A2538),,split(A2538,""-""))"),"")</f>
        <v/>
      </c>
      <c r="K2538" s="13" t="str">
        <f>IFERROR(__xludf.DUMMYFUNCTION("if(isblank(B2538),,split(B2538,""-""))"),"")</f>
        <v/>
      </c>
    </row>
    <row r="2539">
      <c r="A2539" s="132"/>
      <c r="B2539" s="41"/>
      <c r="C2539" s="9"/>
      <c r="D2539" s="133"/>
      <c r="E2539" s="133"/>
      <c r="F2539" s="24"/>
      <c r="G2539" s="24"/>
      <c r="I2539" s="13" t="str">
        <f>IFERROR(__xludf.DUMMYFUNCTION("if(isblank(A2539),,split(A2539,""-""))"),"")</f>
        <v/>
      </c>
      <c r="K2539" s="13" t="str">
        <f>IFERROR(__xludf.DUMMYFUNCTION("if(isblank(B2539),,split(B2539,""-""))"),"")</f>
        <v/>
      </c>
    </row>
    <row r="2540">
      <c r="A2540" s="132"/>
      <c r="B2540" s="41"/>
      <c r="C2540" s="9"/>
      <c r="D2540" s="133"/>
      <c r="E2540" s="133"/>
      <c r="F2540" s="24"/>
      <c r="G2540" s="24"/>
      <c r="I2540" s="13" t="str">
        <f>IFERROR(__xludf.DUMMYFUNCTION("if(isblank(A2540),,split(A2540,""-""))"),"")</f>
        <v/>
      </c>
      <c r="K2540" s="13" t="str">
        <f>IFERROR(__xludf.DUMMYFUNCTION("if(isblank(B2540),,split(B2540,""-""))"),"")</f>
        <v/>
      </c>
    </row>
    <row r="2541">
      <c r="A2541" s="132"/>
      <c r="B2541" s="41"/>
      <c r="C2541" s="9"/>
      <c r="D2541" s="133"/>
      <c r="E2541" s="133"/>
      <c r="F2541" s="24"/>
      <c r="G2541" s="24"/>
      <c r="I2541" s="13" t="str">
        <f>IFERROR(__xludf.DUMMYFUNCTION("if(isblank(A2541),,split(A2541,""-""))"),"")</f>
        <v/>
      </c>
      <c r="K2541" s="13" t="str">
        <f>IFERROR(__xludf.DUMMYFUNCTION("if(isblank(B2541),,split(B2541,""-""))"),"")</f>
        <v/>
      </c>
    </row>
    <row r="2542">
      <c r="A2542" s="132"/>
      <c r="B2542" s="41"/>
      <c r="C2542" s="9"/>
      <c r="D2542" s="133"/>
      <c r="E2542" s="133"/>
      <c r="F2542" s="24"/>
      <c r="G2542" s="24"/>
      <c r="I2542" s="13" t="str">
        <f>IFERROR(__xludf.DUMMYFUNCTION("if(isblank(A2542),,split(A2542,""-""))"),"")</f>
        <v/>
      </c>
      <c r="K2542" s="13" t="str">
        <f>IFERROR(__xludf.DUMMYFUNCTION("if(isblank(B2542),,split(B2542,""-""))"),"")</f>
        <v/>
      </c>
    </row>
    <row r="2543">
      <c r="A2543" s="132"/>
      <c r="B2543" s="41"/>
      <c r="C2543" s="9"/>
      <c r="D2543" s="133"/>
      <c r="E2543" s="133"/>
      <c r="F2543" s="24"/>
      <c r="G2543" s="24"/>
      <c r="I2543" s="13" t="str">
        <f>IFERROR(__xludf.DUMMYFUNCTION("if(isblank(A2543),,split(A2543,""-""))"),"")</f>
        <v/>
      </c>
      <c r="K2543" s="13" t="str">
        <f>IFERROR(__xludf.DUMMYFUNCTION("if(isblank(B2543),,split(B2543,""-""))"),"")</f>
        <v/>
      </c>
    </row>
    <row r="2544">
      <c r="A2544" s="132"/>
      <c r="B2544" s="41"/>
      <c r="C2544" s="9"/>
      <c r="D2544" s="133"/>
      <c r="E2544" s="133"/>
      <c r="F2544" s="24"/>
      <c r="G2544" s="24"/>
      <c r="I2544" s="13" t="str">
        <f>IFERROR(__xludf.DUMMYFUNCTION("if(isblank(A2544),,split(A2544,""-""))"),"")</f>
        <v/>
      </c>
      <c r="K2544" s="13" t="str">
        <f>IFERROR(__xludf.DUMMYFUNCTION("if(isblank(B2544),,split(B2544,""-""))"),"")</f>
        <v/>
      </c>
    </row>
    <row r="2545">
      <c r="A2545" s="132"/>
      <c r="B2545" s="41"/>
      <c r="C2545" s="9"/>
      <c r="D2545" s="133"/>
      <c r="E2545" s="133"/>
      <c r="F2545" s="24"/>
      <c r="G2545" s="24"/>
      <c r="I2545" s="13" t="str">
        <f>IFERROR(__xludf.DUMMYFUNCTION("if(isblank(A2545),,split(A2545,""-""))"),"")</f>
        <v/>
      </c>
      <c r="K2545" s="13" t="str">
        <f>IFERROR(__xludf.DUMMYFUNCTION("if(isblank(B2545),,split(B2545,""-""))"),"")</f>
        <v/>
      </c>
    </row>
    <row r="2546">
      <c r="A2546" s="132"/>
      <c r="B2546" s="41"/>
      <c r="C2546" s="9"/>
      <c r="D2546" s="133"/>
      <c r="E2546" s="133"/>
      <c r="F2546" s="24"/>
      <c r="G2546" s="24"/>
      <c r="I2546" s="13" t="str">
        <f>IFERROR(__xludf.DUMMYFUNCTION("if(isblank(A2546),,split(A2546,""-""))"),"")</f>
        <v/>
      </c>
      <c r="K2546" s="13" t="str">
        <f>IFERROR(__xludf.DUMMYFUNCTION("if(isblank(B2546),,split(B2546,""-""))"),"")</f>
        <v/>
      </c>
    </row>
    <row r="2547">
      <c r="A2547" s="132"/>
      <c r="B2547" s="41"/>
      <c r="C2547" s="9"/>
      <c r="D2547" s="133"/>
      <c r="E2547" s="133"/>
      <c r="F2547" s="24"/>
      <c r="G2547" s="24"/>
      <c r="I2547" s="13" t="str">
        <f>IFERROR(__xludf.DUMMYFUNCTION("if(isblank(A2547),,split(A2547,""-""))"),"")</f>
        <v/>
      </c>
      <c r="K2547" s="13" t="str">
        <f>IFERROR(__xludf.DUMMYFUNCTION("if(isblank(B2547),,split(B2547,""-""))"),"")</f>
        <v/>
      </c>
    </row>
    <row r="2548">
      <c r="A2548" s="132"/>
      <c r="B2548" s="41"/>
      <c r="C2548" s="9"/>
      <c r="D2548" s="133"/>
      <c r="E2548" s="133"/>
      <c r="F2548" s="24"/>
      <c r="G2548" s="24"/>
      <c r="I2548" s="13" t="str">
        <f>IFERROR(__xludf.DUMMYFUNCTION("if(isblank(A2548),,split(A2548,""-""))"),"")</f>
        <v/>
      </c>
      <c r="K2548" s="13" t="str">
        <f>IFERROR(__xludf.DUMMYFUNCTION("if(isblank(B2548),,split(B2548,""-""))"),"")</f>
        <v/>
      </c>
    </row>
    <row r="2549">
      <c r="A2549" s="132"/>
      <c r="B2549" s="41"/>
      <c r="C2549" s="9"/>
      <c r="D2549" s="133"/>
      <c r="E2549" s="133"/>
      <c r="F2549" s="24"/>
      <c r="G2549" s="24"/>
      <c r="I2549" s="13" t="str">
        <f>IFERROR(__xludf.DUMMYFUNCTION("if(isblank(A2549),,split(A2549,""-""))"),"")</f>
        <v/>
      </c>
      <c r="K2549" s="13" t="str">
        <f>IFERROR(__xludf.DUMMYFUNCTION("if(isblank(B2549),,split(B2549,""-""))"),"")</f>
        <v/>
      </c>
    </row>
    <row r="2550">
      <c r="A2550" s="132"/>
      <c r="B2550" s="41"/>
      <c r="C2550" s="9"/>
      <c r="D2550" s="133"/>
      <c r="E2550" s="133"/>
      <c r="F2550" s="24"/>
      <c r="G2550" s="24"/>
      <c r="I2550" s="13" t="str">
        <f>IFERROR(__xludf.DUMMYFUNCTION("if(isblank(A2550),,split(A2550,""-""))"),"")</f>
        <v/>
      </c>
      <c r="K2550" s="13" t="str">
        <f>IFERROR(__xludf.DUMMYFUNCTION("if(isblank(B2550),,split(B2550,""-""))"),"")</f>
        <v/>
      </c>
    </row>
    <row r="2551">
      <c r="A2551" s="132"/>
      <c r="B2551" s="41"/>
      <c r="C2551" s="9"/>
      <c r="D2551" s="133"/>
      <c r="E2551" s="133"/>
      <c r="F2551" s="24"/>
      <c r="G2551" s="24"/>
      <c r="I2551" s="13" t="str">
        <f>IFERROR(__xludf.DUMMYFUNCTION("if(isblank(A2551),,split(A2551,""-""))"),"")</f>
        <v/>
      </c>
      <c r="K2551" s="13" t="str">
        <f>IFERROR(__xludf.DUMMYFUNCTION("if(isblank(B2551),,split(B2551,""-""))"),"")</f>
        <v/>
      </c>
    </row>
    <row r="2552">
      <c r="A2552" s="132"/>
      <c r="B2552" s="41"/>
      <c r="C2552" s="9"/>
      <c r="D2552" s="133"/>
      <c r="E2552" s="133"/>
      <c r="F2552" s="24"/>
      <c r="G2552" s="24"/>
      <c r="I2552" s="13" t="str">
        <f>IFERROR(__xludf.DUMMYFUNCTION("if(isblank(A2552),,split(A2552,""-""))"),"")</f>
        <v/>
      </c>
      <c r="K2552" s="13" t="str">
        <f>IFERROR(__xludf.DUMMYFUNCTION("if(isblank(B2552),,split(B2552,""-""))"),"")</f>
        <v/>
      </c>
    </row>
    <row r="2553">
      <c r="A2553" s="132"/>
      <c r="B2553" s="41"/>
      <c r="C2553" s="9"/>
      <c r="D2553" s="133"/>
      <c r="E2553" s="133"/>
      <c r="F2553" s="24"/>
      <c r="G2553" s="24"/>
      <c r="I2553" s="13" t="str">
        <f>IFERROR(__xludf.DUMMYFUNCTION("if(isblank(A2553),,split(A2553,""-""))"),"")</f>
        <v/>
      </c>
      <c r="K2553" s="13" t="str">
        <f>IFERROR(__xludf.DUMMYFUNCTION("if(isblank(B2553),,split(B2553,""-""))"),"")</f>
        <v/>
      </c>
    </row>
    <row r="2554">
      <c r="A2554" s="132"/>
      <c r="B2554" s="41"/>
      <c r="C2554" s="9"/>
      <c r="D2554" s="133"/>
      <c r="E2554" s="133"/>
      <c r="F2554" s="24"/>
      <c r="G2554" s="24"/>
      <c r="I2554" s="13" t="str">
        <f>IFERROR(__xludf.DUMMYFUNCTION("if(isblank(A2554),,split(A2554,""-""))"),"")</f>
        <v/>
      </c>
      <c r="K2554" s="13" t="str">
        <f>IFERROR(__xludf.DUMMYFUNCTION("if(isblank(B2554),,split(B2554,""-""))"),"")</f>
        <v/>
      </c>
    </row>
    <row r="2555">
      <c r="A2555" s="132"/>
      <c r="B2555" s="41"/>
      <c r="C2555" s="9"/>
      <c r="D2555" s="133"/>
      <c r="E2555" s="133"/>
      <c r="F2555" s="24"/>
      <c r="G2555" s="24"/>
      <c r="I2555" s="13" t="str">
        <f>IFERROR(__xludf.DUMMYFUNCTION("if(isblank(A2555),,split(A2555,""-""))"),"")</f>
        <v/>
      </c>
      <c r="K2555" s="13" t="str">
        <f>IFERROR(__xludf.DUMMYFUNCTION("if(isblank(B2555),,split(B2555,""-""))"),"")</f>
        <v/>
      </c>
    </row>
    <row r="2556">
      <c r="A2556" s="132"/>
      <c r="B2556" s="41"/>
      <c r="C2556" s="9"/>
      <c r="D2556" s="133"/>
      <c r="E2556" s="133"/>
      <c r="F2556" s="24"/>
      <c r="G2556" s="24"/>
      <c r="I2556" s="13" t="str">
        <f>IFERROR(__xludf.DUMMYFUNCTION("if(isblank(A2556),,split(A2556,""-""))"),"")</f>
        <v/>
      </c>
      <c r="K2556" s="13" t="str">
        <f>IFERROR(__xludf.DUMMYFUNCTION("if(isblank(B2556),,split(B2556,""-""))"),"")</f>
        <v/>
      </c>
    </row>
    <row r="2557">
      <c r="A2557" s="132"/>
      <c r="B2557" s="41"/>
      <c r="C2557" s="9"/>
      <c r="D2557" s="133"/>
      <c r="E2557" s="133"/>
      <c r="F2557" s="24"/>
      <c r="G2557" s="24"/>
      <c r="I2557" s="13" t="str">
        <f>IFERROR(__xludf.DUMMYFUNCTION("if(isblank(A2557),,split(A2557,""-""))"),"")</f>
        <v/>
      </c>
      <c r="K2557" s="13" t="str">
        <f>IFERROR(__xludf.DUMMYFUNCTION("if(isblank(B2557),,split(B2557,""-""))"),"")</f>
        <v/>
      </c>
    </row>
    <row r="2558">
      <c r="A2558" s="132"/>
      <c r="B2558" s="41"/>
      <c r="C2558" s="9"/>
      <c r="D2558" s="133"/>
      <c r="E2558" s="133"/>
      <c r="F2558" s="24"/>
      <c r="G2558" s="24"/>
      <c r="I2558" s="13" t="str">
        <f>IFERROR(__xludf.DUMMYFUNCTION("if(isblank(A2558),,split(A2558,""-""))"),"")</f>
        <v/>
      </c>
      <c r="K2558" s="13" t="str">
        <f>IFERROR(__xludf.DUMMYFUNCTION("if(isblank(B2558),,split(B2558,""-""))"),"")</f>
        <v/>
      </c>
    </row>
    <row r="2559">
      <c r="A2559" s="132"/>
      <c r="B2559" s="41"/>
      <c r="C2559" s="9"/>
      <c r="D2559" s="133"/>
      <c r="E2559" s="133"/>
      <c r="F2559" s="24"/>
      <c r="G2559" s="24"/>
      <c r="I2559" s="13" t="str">
        <f>IFERROR(__xludf.DUMMYFUNCTION("if(isblank(A2559),,split(A2559,""-""))"),"")</f>
        <v/>
      </c>
      <c r="K2559" s="13" t="str">
        <f>IFERROR(__xludf.DUMMYFUNCTION("if(isblank(B2559),,split(B2559,""-""))"),"")</f>
        <v/>
      </c>
    </row>
    <row r="2560">
      <c r="A2560" s="132"/>
      <c r="B2560" s="41"/>
      <c r="C2560" s="9"/>
      <c r="D2560" s="133"/>
      <c r="E2560" s="133"/>
      <c r="F2560" s="24"/>
      <c r="G2560" s="24"/>
      <c r="I2560" s="13" t="str">
        <f>IFERROR(__xludf.DUMMYFUNCTION("if(isblank(A2560),,split(A2560,""-""))"),"")</f>
        <v/>
      </c>
      <c r="K2560" s="13" t="str">
        <f>IFERROR(__xludf.DUMMYFUNCTION("if(isblank(B2560),,split(B2560,""-""))"),"")</f>
        <v/>
      </c>
    </row>
    <row r="2561">
      <c r="A2561" s="132"/>
      <c r="B2561" s="41"/>
      <c r="C2561" s="9"/>
      <c r="D2561" s="133"/>
      <c r="E2561" s="133"/>
      <c r="F2561" s="24"/>
      <c r="G2561" s="24"/>
      <c r="I2561" s="13" t="str">
        <f>IFERROR(__xludf.DUMMYFUNCTION("if(isblank(A2561),,split(A2561,""-""))"),"")</f>
        <v/>
      </c>
      <c r="K2561" s="13" t="str">
        <f>IFERROR(__xludf.DUMMYFUNCTION("if(isblank(B2561),,split(B2561,""-""))"),"")</f>
        <v/>
      </c>
    </row>
    <row r="2562">
      <c r="A2562" s="132"/>
      <c r="B2562" s="41"/>
      <c r="C2562" s="9"/>
      <c r="D2562" s="133"/>
      <c r="E2562" s="133"/>
      <c r="F2562" s="24"/>
      <c r="G2562" s="24"/>
      <c r="I2562" s="13" t="str">
        <f>IFERROR(__xludf.DUMMYFUNCTION("if(isblank(A2562),,split(A2562,""-""))"),"")</f>
        <v/>
      </c>
      <c r="K2562" s="13" t="str">
        <f>IFERROR(__xludf.DUMMYFUNCTION("if(isblank(B2562),,split(B2562,""-""))"),"")</f>
        <v/>
      </c>
    </row>
    <row r="2563">
      <c r="A2563" s="132"/>
      <c r="B2563" s="41"/>
      <c r="C2563" s="9"/>
      <c r="D2563" s="133"/>
      <c r="E2563" s="133"/>
      <c r="F2563" s="24"/>
      <c r="G2563" s="24"/>
      <c r="I2563" s="13" t="str">
        <f>IFERROR(__xludf.DUMMYFUNCTION("if(isblank(A2563),,split(A2563,""-""))"),"")</f>
        <v/>
      </c>
      <c r="K2563" s="13" t="str">
        <f>IFERROR(__xludf.DUMMYFUNCTION("if(isblank(B2563),,split(B2563,""-""))"),"")</f>
        <v/>
      </c>
    </row>
    <row r="2564">
      <c r="A2564" s="132"/>
      <c r="B2564" s="41"/>
      <c r="C2564" s="9"/>
      <c r="D2564" s="133"/>
      <c r="E2564" s="133"/>
      <c r="F2564" s="24"/>
      <c r="G2564" s="24"/>
      <c r="I2564" s="13" t="str">
        <f>IFERROR(__xludf.DUMMYFUNCTION("if(isblank(A2564),,split(A2564,""-""))"),"")</f>
        <v/>
      </c>
      <c r="K2564" s="13" t="str">
        <f>IFERROR(__xludf.DUMMYFUNCTION("if(isblank(B2564),,split(B2564,""-""))"),"")</f>
        <v/>
      </c>
    </row>
    <row r="2565">
      <c r="A2565" s="132"/>
      <c r="B2565" s="41"/>
      <c r="C2565" s="9"/>
      <c r="D2565" s="133"/>
      <c r="E2565" s="133"/>
      <c r="F2565" s="24"/>
      <c r="G2565" s="24"/>
      <c r="I2565" s="13" t="str">
        <f>IFERROR(__xludf.DUMMYFUNCTION("if(isblank(A2565),,split(A2565,""-""))"),"")</f>
        <v/>
      </c>
      <c r="K2565" s="13" t="str">
        <f>IFERROR(__xludf.DUMMYFUNCTION("if(isblank(B2565),,split(B2565,""-""))"),"")</f>
        <v/>
      </c>
    </row>
    <row r="2566">
      <c r="A2566" s="132"/>
      <c r="B2566" s="41"/>
      <c r="C2566" s="9"/>
      <c r="D2566" s="133"/>
      <c r="E2566" s="133"/>
      <c r="F2566" s="24"/>
      <c r="G2566" s="24"/>
      <c r="I2566" s="13" t="str">
        <f>IFERROR(__xludf.DUMMYFUNCTION("if(isblank(A2566),,split(A2566,""-""))"),"")</f>
        <v/>
      </c>
      <c r="K2566" s="13" t="str">
        <f>IFERROR(__xludf.DUMMYFUNCTION("if(isblank(B2566),,split(B2566,""-""))"),"")</f>
        <v/>
      </c>
    </row>
    <row r="2567">
      <c r="A2567" s="132"/>
      <c r="B2567" s="41"/>
      <c r="C2567" s="9"/>
      <c r="D2567" s="133"/>
      <c r="E2567" s="133"/>
      <c r="F2567" s="24"/>
      <c r="G2567" s="24"/>
      <c r="I2567" s="13" t="str">
        <f>IFERROR(__xludf.DUMMYFUNCTION("if(isblank(A2567),,split(A2567,""-""))"),"")</f>
        <v/>
      </c>
      <c r="K2567" s="13" t="str">
        <f>IFERROR(__xludf.DUMMYFUNCTION("if(isblank(B2567),,split(B2567,""-""))"),"")</f>
        <v/>
      </c>
    </row>
    <row r="2568">
      <c r="A2568" s="132"/>
      <c r="B2568" s="41"/>
      <c r="C2568" s="9"/>
      <c r="D2568" s="133"/>
      <c r="E2568" s="133"/>
      <c r="F2568" s="24"/>
      <c r="G2568" s="24"/>
      <c r="I2568" s="13" t="str">
        <f>IFERROR(__xludf.DUMMYFUNCTION("if(isblank(A2568),,split(A2568,""-""))"),"")</f>
        <v/>
      </c>
      <c r="K2568" s="13" t="str">
        <f>IFERROR(__xludf.DUMMYFUNCTION("if(isblank(B2568),,split(B2568,""-""))"),"")</f>
        <v/>
      </c>
    </row>
    <row r="2569">
      <c r="A2569" s="132"/>
      <c r="B2569" s="41"/>
      <c r="C2569" s="9"/>
      <c r="D2569" s="133"/>
      <c r="E2569" s="133"/>
      <c r="F2569" s="24"/>
      <c r="G2569" s="24"/>
      <c r="I2569" s="13" t="str">
        <f>IFERROR(__xludf.DUMMYFUNCTION("if(isblank(A2569),,split(A2569,""-""))"),"")</f>
        <v/>
      </c>
      <c r="K2569" s="13" t="str">
        <f>IFERROR(__xludf.DUMMYFUNCTION("if(isblank(B2569),,split(B2569,""-""))"),"")</f>
        <v/>
      </c>
    </row>
    <row r="2570">
      <c r="A2570" s="132"/>
      <c r="B2570" s="41"/>
      <c r="C2570" s="9"/>
      <c r="D2570" s="133"/>
      <c r="E2570" s="133"/>
      <c r="F2570" s="24"/>
      <c r="G2570" s="24"/>
      <c r="I2570" s="13" t="str">
        <f>IFERROR(__xludf.DUMMYFUNCTION("if(isblank(A2570),,split(A2570,""-""))"),"")</f>
        <v/>
      </c>
      <c r="K2570" s="13" t="str">
        <f>IFERROR(__xludf.DUMMYFUNCTION("if(isblank(B2570),,split(B2570,""-""))"),"")</f>
        <v/>
      </c>
    </row>
    <row r="2571">
      <c r="A2571" s="132"/>
      <c r="B2571" s="41"/>
      <c r="C2571" s="9"/>
      <c r="D2571" s="133"/>
      <c r="E2571" s="133"/>
      <c r="F2571" s="24"/>
      <c r="G2571" s="24"/>
      <c r="I2571" s="13" t="str">
        <f>IFERROR(__xludf.DUMMYFUNCTION("if(isblank(A2571),,split(A2571,""-""))"),"")</f>
        <v/>
      </c>
      <c r="K2571" s="13" t="str">
        <f>IFERROR(__xludf.DUMMYFUNCTION("if(isblank(B2571),,split(B2571,""-""))"),"")</f>
        <v/>
      </c>
    </row>
    <row r="2572">
      <c r="A2572" s="132"/>
      <c r="B2572" s="41"/>
      <c r="C2572" s="9"/>
      <c r="D2572" s="133"/>
      <c r="E2572" s="133"/>
      <c r="F2572" s="24"/>
      <c r="G2572" s="24"/>
      <c r="I2572" s="13" t="str">
        <f>IFERROR(__xludf.DUMMYFUNCTION("if(isblank(A2572),,split(A2572,""-""))"),"")</f>
        <v/>
      </c>
      <c r="K2572" s="13" t="str">
        <f>IFERROR(__xludf.DUMMYFUNCTION("if(isblank(B2572),,split(B2572,""-""))"),"")</f>
        <v/>
      </c>
    </row>
    <row r="2573">
      <c r="A2573" s="132"/>
      <c r="B2573" s="41"/>
      <c r="C2573" s="9"/>
      <c r="D2573" s="133"/>
      <c r="E2573" s="133"/>
      <c r="F2573" s="24"/>
      <c r="G2573" s="24"/>
      <c r="I2573" s="13" t="str">
        <f>IFERROR(__xludf.DUMMYFUNCTION("if(isblank(A2573),,split(A2573,""-""))"),"")</f>
        <v/>
      </c>
      <c r="K2573" s="13" t="str">
        <f>IFERROR(__xludf.DUMMYFUNCTION("if(isblank(B2573),,split(B2573,""-""))"),"")</f>
        <v/>
      </c>
    </row>
    <row r="2574">
      <c r="A2574" s="132"/>
      <c r="B2574" s="41"/>
      <c r="C2574" s="9"/>
      <c r="D2574" s="133"/>
      <c r="E2574" s="133"/>
      <c r="F2574" s="24"/>
      <c r="G2574" s="24"/>
      <c r="I2574" s="13" t="str">
        <f>IFERROR(__xludf.DUMMYFUNCTION("if(isblank(A2574),,split(A2574,""-""))"),"")</f>
        <v/>
      </c>
      <c r="K2574" s="13" t="str">
        <f>IFERROR(__xludf.DUMMYFUNCTION("if(isblank(B2574),,split(B2574,""-""))"),"")</f>
        <v/>
      </c>
    </row>
    <row r="2575">
      <c r="A2575" s="132"/>
      <c r="B2575" s="41"/>
      <c r="C2575" s="9"/>
      <c r="D2575" s="133"/>
      <c r="E2575" s="133"/>
      <c r="F2575" s="24"/>
      <c r="G2575" s="24"/>
      <c r="I2575" s="13" t="str">
        <f>IFERROR(__xludf.DUMMYFUNCTION("if(isblank(A2575),,split(A2575,""-""))"),"")</f>
        <v/>
      </c>
      <c r="K2575" s="13" t="str">
        <f>IFERROR(__xludf.DUMMYFUNCTION("if(isblank(B2575),,split(B2575,""-""))"),"")</f>
        <v/>
      </c>
    </row>
    <row r="2576">
      <c r="A2576" s="132"/>
      <c r="B2576" s="41"/>
      <c r="C2576" s="9"/>
      <c r="D2576" s="133"/>
      <c r="E2576" s="133"/>
      <c r="F2576" s="24"/>
      <c r="G2576" s="24"/>
      <c r="I2576" s="13" t="str">
        <f>IFERROR(__xludf.DUMMYFUNCTION("if(isblank(A2576),,split(A2576,""-""))"),"")</f>
        <v/>
      </c>
      <c r="K2576" s="13" t="str">
        <f>IFERROR(__xludf.DUMMYFUNCTION("if(isblank(B2576),,split(B2576,""-""))"),"")</f>
        <v/>
      </c>
    </row>
    <row r="2577">
      <c r="A2577" s="132"/>
      <c r="B2577" s="41"/>
      <c r="C2577" s="9"/>
      <c r="D2577" s="133"/>
      <c r="E2577" s="133"/>
      <c r="F2577" s="24"/>
      <c r="G2577" s="24"/>
      <c r="I2577" s="13" t="str">
        <f>IFERROR(__xludf.DUMMYFUNCTION("if(isblank(A2577),,split(A2577,""-""))"),"")</f>
        <v/>
      </c>
      <c r="K2577" s="13" t="str">
        <f>IFERROR(__xludf.DUMMYFUNCTION("if(isblank(B2577),,split(B2577,""-""))"),"")</f>
        <v/>
      </c>
    </row>
    <row r="2578">
      <c r="A2578" s="132"/>
      <c r="B2578" s="41"/>
      <c r="C2578" s="9"/>
      <c r="D2578" s="133"/>
      <c r="E2578" s="133"/>
      <c r="F2578" s="24"/>
      <c r="G2578" s="24"/>
      <c r="I2578" s="13" t="str">
        <f>IFERROR(__xludf.DUMMYFUNCTION("if(isblank(A2578),,split(A2578,""-""))"),"")</f>
        <v/>
      </c>
      <c r="K2578" s="13" t="str">
        <f>IFERROR(__xludf.DUMMYFUNCTION("if(isblank(B2578),,split(B2578,""-""))"),"")</f>
        <v/>
      </c>
    </row>
    <row r="2579">
      <c r="A2579" s="132"/>
      <c r="B2579" s="41"/>
      <c r="C2579" s="9"/>
      <c r="D2579" s="133"/>
      <c r="E2579" s="133"/>
      <c r="F2579" s="24"/>
      <c r="G2579" s="24"/>
      <c r="I2579" s="13" t="str">
        <f>IFERROR(__xludf.DUMMYFUNCTION("if(isblank(A2579),,split(A2579,""-""))"),"")</f>
        <v/>
      </c>
      <c r="K2579" s="13" t="str">
        <f>IFERROR(__xludf.DUMMYFUNCTION("if(isblank(B2579),,split(B2579,""-""))"),"")</f>
        <v/>
      </c>
    </row>
    <row r="2580">
      <c r="A2580" s="132"/>
      <c r="B2580" s="41"/>
      <c r="C2580" s="9"/>
      <c r="D2580" s="133"/>
      <c r="E2580" s="133"/>
      <c r="F2580" s="24"/>
      <c r="G2580" s="24"/>
      <c r="I2580" s="13" t="str">
        <f>IFERROR(__xludf.DUMMYFUNCTION("if(isblank(A2580),,split(A2580,""-""))"),"")</f>
        <v/>
      </c>
      <c r="K2580" s="13" t="str">
        <f>IFERROR(__xludf.DUMMYFUNCTION("if(isblank(B2580),,split(B2580,""-""))"),"")</f>
        <v/>
      </c>
    </row>
    <row r="2581">
      <c r="A2581" s="132"/>
      <c r="B2581" s="41"/>
      <c r="C2581" s="9"/>
      <c r="D2581" s="133"/>
      <c r="E2581" s="133"/>
      <c r="F2581" s="24"/>
      <c r="G2581" s="24"/>
      <c r="I2581" s="13" t="str">
        <f>IFERROR(__xludf.DUMMYFUNCTION("if(isblank(A2581),,split(A2581,""-""))"),"")</f>
        <v/>
      </c>
      <c r="K2581" s="13" t="str">
        <f>IFERROR(__xludf.DUMMYFUNCTION("if(isblank(B2581),,split(B2581,""-""))"),"")</f>
        <v/>
      </c>
    </row>
    <row r="2582">
      <c r="A2582" s="132"/>
      <c r="B2582" s="41"/>
      <c r="C2582" s="9"/>
      <c r="D2582" s="133"/>
      <c r="E2582" s="133"/>
      <c r="F2582" s="24"/>
      <c r="G2582" s="24"/>
      <c r="I2582" s="13" t="str">
        <f>IFERROR(__xludf.DUMMYFUNCTION("if(isblank(A2582),,split(A2582,""-""))"),"")</f>
        <v/>
      </c>
      <c r="K2582" s="13" t="str">
        <f>IFERROR(__xludf.DUMMYFUNCTION("if(isblank(B2582),,split(B2582,""-""))"),"")</f>
        <v/>
      </c>
    </row>
    <row r="2583">
      <c r="A2583" s="132"/>
      <c r="B2583" s="41"/>
      <c r="C2583" s="9"/>
      <c r="D2583" s="133"/>
      <c r="E2583" s="133"/>
      <c r="F2583" s="24"/>
      <c r="G2583" s="24"/>
      <c r="I2583" s="13" t="str">
        <f>IFERROR(__xludf.DUMMYFUNCTION("if(isblank(A2583),,split(A2583,""-""))"),"")</f>
        <v/>
      </c>
      <c r="K2583" s="13" t="str">
        <f>IFERROR(__xludf.DUMMYFUNCTION("if(isblank(B2583),,split(B2583,""-""))"),"")</f>
        <v/>
      </c>
    </row>
    <row r="2584">
      <c r="A2584" s="132"/>
      <c r="B2584" s="41"/>
      <c r="C2584" s="9"/>
      <c r="D2584" s="133"/>
      <c r="E2584" s="133"/>
      <c r="F2584" s="24"/>
      <c r="G2584" s="24"/>
      <c r="I2584" s="13" t="str">
        <f>IFERROR(__xludf.DUMMYFUNCTION("if(isblank(A2584),,split(A2584,""-""))"),"")</f>
        <v/>
      </c>
      <c r="K2584" s="13" t="str">
        <f>IFERROR(__xludf.DUMMYFUNCTION("if(isblank(B2584),,split(B2584,""-""))"),"")</f>
        <v/>
      </c>
    </row>
    <row r="2585">
      <c r="A2585" s="132"/>
      <c r="B2585" s="41"/>
      <c r="C2585" s="9"/>
      <c r="D2585" s="133"/>
      <c r="E2585" s="133"/>
      <c r="F2585" s="24"/>
      <c r="G2585" s="24"/>
      <c r="I2585" s="13" t="str">
        <f>IFERROR(__xludf.DUMMYFUNCTION("if(isblank(A2585),,split(A2585,""-""))"),"")</f>
        <v/>
      </c>
      <c r="K2585" s="13" t="str">
        <f>IFERROR(__xludf.DUMMYFUNCTION("if(isblank(B2585),,split(B2585,""-""))"),"")</f>
        <v/>
      </c>
    </row>
    <row r="2586">
      <c r="A2586" s="132"/>
      <c r="B2586" s="41"/>
      <c r="C2586" s="9"/>
      <c r="D2586" s="133"/>
      <c r="E2586" s="133"/>
      <c r="F2586" s="24"/>
      <c r="G2586" s="24"/>
      <c r="I2586" s="13" t="str">
        <f>IFERROR(__xludf.DUMMYFUNCTION("if(isblank(A2586),,split(A2586,""-""))"),"")</f>
        <v/>
      </c>
      <c r="K2586" s="13" t="str">
        <f>IFERROR(__xludf.DUMMYFUNCTION("if(isblank(B2586),,split(B2586,""-""))"),"")</f>
        <v/>
      </c>
    </row>
    <row r="2587">
      <c r="A2587" s="132"/>
      <c r="B2587" s="41"/>
      <c r="C2587" s="9"/>
      <c r="D2587" s="133"/>
      <c r="E2587" s="133"/>
      <c r="F2587" s="24"/>
      <c r="G2587" s="24"/>
      <c r="I2587" s="13" t="str">
        <f>IFERROR(__xludf.DUMMYFUNCTION("if(isblank(A2587),,split(A2587,""-""))"),"")</f>
        <v/>
      </c>
      <c r="K2587" s="13" t="str">
        <f>IFERROR(__xludf.DUMMYFUNCTION("if(isblank(B2587),,split(B2587,""-""))"),"")</f>
        <v/>
      </c>
    </row>
    <row r="2588">
      <c r="A2588" s="132"/>
      <c r="B2588" s="41"/>
      <c r="C2588" s="9"/>
      <c r="D2588" s="133"/>
      <c r="E2588" s="133"/>
      <c r="F2588" s="24"/>
      <c r="G2588" s="24"/>
      <c r="I2588" s="13" t="str">
        <f>IFERROR(__xludf.DUMMYFUNCTION("if(isblank(A2588),,split(A2588,""-""))"),"")</f>
        <v/>
      </c>
      <c r="K2588" s="13" t="str">
        <f>IFERROR(__xludf.DUMMYFUNCTION("if(isblank(B2588),,split(B2588,""-""))"),"")</f>
        <v/>
      </c>
    </row>
    <row r="2589">
      <c r="A2589" s="132"/>
      <c r="B2589" s="41"/>
      <c r="C2589" s="9"/>
      <c r="D2589" s="133"/>
      <c r="E2589" s="133"/>
      <c r="F2589" s="24"/>
      <c r="G2589" s="24"/>
      <c r="I2589" s="13" t="str">
        <f>IFERROR(__xludf.DUMMYFUNCTION("if(isblank(A2589),,split(A2589,""-""))"),"")</f>
        <v/>
      </c>
      <c r="K2589" s="13" t="str">
        <f>IFERROR(__xludf.DUMMYFUNCTION("if(isblank(B2589),,split(B2589,""-""))"),"")</f>
        <v/>
      </c>
    </row>
    <row r="2590">
      <c r="A2590" s="132"/>
      <c r="B2590" s="41"/>
      <c r="C2590" s="9"/>
      <c r="D2590" s="133"/>
      <c r="E2590" s="133"/>
      <c r="F2590" s="24"/>
      <c r="G2590" s="24"/>
      <c r="I2590" s="13" t="str">
        <f>IFERROR(__xludf.DUMMYFUNCTION("if(isblank(A2590),,split(A2590,""-""))"),"")</f>
        <v/>
      </c>
      <c r="K2590" s="13" t="str">
        <f>IFERROR(__xludf.DUMMYFUNCTION("if(isblank(B2590),,split(B2590,""-""))"),"")</f>
        <v/>
      </c>
    </row>
    <row r="2591">
      <c r="A2591" s="132"/>
      <c r="B2591" s="41"/>
      <c r="C2591" s="9"/>
      <c r="D2591" s="133"/>
      <c r="E2591" s="133"/>
      <c r="F2591" s="24"/>
      <c r="G2591" s="24"/>
      <c r="I2591" s="13" t="str">
        <f>IFERROR(__xludf.DUMMYFUNCTION("if(isblank(A2591),,split(A2591,""-""))"),"")</f>
        <v/>
      </c>
      <c r="K2591" s="13" t="str">
        <f>IFERROR(__xludf.DUMMYFUNCTION("if(isblank(B2591),,split(B2591,""-""))"),"")</f>
        <v/>
      </c>
    </row>
    <row r="2592">
      <c r="A2592" s="132"/>
      <c r="B2592" s="41"/>
      <c r="C2592" s="9"/>
      <c r="D2592" s="133"/>
      <c r="E2592" s="133"/>
      <c r="F2592" s="24"/>
      <c r="G2592" s="24"/>
      <c r="I2592" s="13" t="str">
        <f>IFERROR(__xludf.DUMMYFUNCTION("if(isblank(A2592),,split(A2592,""-""))"),"")</f>
        <v/>
      </c>
      <c r="K2592" s="13" t="str">
        <f>IFERROR(__xludf.DUMMYFUNCTION("if(isblank(B2592),,split(B2592,""-""))"),"")</f>
        <v/>
      </c>
    </row>
    <row r="2593">
      <c r="A2593" s="132"/>
      <c r="B2593" s="41"/>
      <c r="C2593" s="9"/>
      <c r="D2593" s="133"/>
      <c r="E2593" s="133"/>
      <c r="F2593" s="24"/>
      <c r="G2593" s="24"/>
      <c r="I2593" s="13" t="str">
        <f>IFERROR(__xludf.DUMMYFUNCTION("if(isblank(A2593),,split(A2593,""-""))"),"")</f>
        <v/>
      </c>
      <c r="K2593" s="13" t="str">
        <f>IFERROR(__xludf.DUMMYFUNCTION("if(isblank(B2593),,split(B2593,""-""))"),"")</f>
        <v/>
      </c>
    </row>
    <row r="2594">
      <c r="A2594" s="132"/>
      <c r="B2594" s="41"/>
      <c r="C2594" s="9"/>
      <c r="D2594" s="133"/>
      <c r="E2594" s="133"/>
      <c r="F2594" s="24"/>
      <c r="G2594" s="24"/>
      <c r="I2594" s="13" t="str">
        <f>IFERROR(__xludf.DUMMYFUNCTION("if(isblank(A2594),,split(A2594,""-""))"),"")</f>
        <v/>
      </c>
      <c r="K2594" s="13" t="str">
        <f>IFERROR(__xludf.DUMMYFUNCTION("if(isblank(B2594),,split(B2594,""-""))"),"")</f>
        <v/>
      </c>
    </row>
    <row r="2595">
      <c r="A2595" s="132"/>
      <c r="B2595" s="41"/>
      <c r="C2595" s="9"/>
      <c r="D2595" s="133"/>
      <c r="E2595" s="133"/>
      <c r="F2595" s="24"/>
      <c r="G2595" s="24"/>
      <c r="I2595" s="13" t="str">
        <f>IFERROR(__xludf.DUMMYFUNCTION("if(isblank(A2595),,split(A2595,""-""))"),"")</f>
        <v/>
      </c>
      <c r="K2595" s="13" t="str">
        <f>IFERROR(__xludf.DUMMYFUNCTION("if(isblank(B2595),,split(B2595,""-""))"),"")</f>
        <v/>
      </c>
    </row>
    <row r="2596">
      <c r="A2596" s="132"/>
      <c r="B2596" s="41"/>
      <c r="C2596" s="9"/>
      <c r="D2596" s="133"/>
      <c r="E2596" s="133"/>
      <c r="F2596" s="24"/>
      <c r="G2596" s="24"/>
      <c r="I2596" s="13" t="str">
        <f>IFERROR(__xludf.DUMMYFUNCTION("if(isblank(A2596),,split(A2596,""-""))"),"")</f>
        <v/>
      </c>
      <c r="K2596" s="13" t="str">
        <f>IFERROR(__xludf.DUMMYFUNCTION("if(isblank(B2596),,split(B2596,""-""))"),"")</f>
        <v/>
      </c>
    </row>
    <row r="2597">
      <c r="A2597" s="132"/>
      <c r="B2597" s="41"/>
      <c r="C2597" s="9"/>
      <c r="D2597" s="133"/>
      <c r="E2597" s="133"/>
      <c r="F2597" s="24"/>
      <c r="G2597" s="24"/>
      <c r="I2597" s="13" t="str">
        <f>IFERROR(__xludf.DUMMYFUNCTION("if(isblank(A2597),,split(A2597,""-""))"),"")</f>
        <v/>
      </c>
      <c r="K2597" s="13" t="str">
        <f>IFERROR(__xludf.DUMMYFUNCTION("if(isblank(B2597),,split(B2597,""-""))"),"")</f>
        <v/>
      </c>
    </row>
    <row r="2598">
      <c r="A2598" s="132"/>
      <c r="B2598" s="41"/>
      <c r="C2598" s="9"/>
      <c r="D2598" s="133"/>
      <c r="E2598" s="133"/>
      <c r="F2598" s="24"/>
      <c r="G2598" s="24"/>
      <c r="I2598" s="13" t="str">
        <f>IFERROR(__xludf.DUMMYFUNCTION("if(isblank(A2598),,split(A2598,""-""))"),"")</f>
        <v/>
      </c>
      <c r="K2598" s="13" t="str">
        <f>IFERROR(__xludf.DUMMYFUNCTION("if(isblank(B2598),,split(B2598,""-""))"),"")</f>
        <v/>
      </c>
    </row>
    <row r="2599">
      <c r="A2599" s="132"/>
      <c r="B2599" s="41"/>
      <c r="C2599" s="9"/>
      <c r="D2599" s="133"/>
      <c r="E2599" s="133"/>
      <c r="F2599" s="24"/>
      <c r="G2599" s="24"/>
      <c r="I2599" s="13" t="str">
        <f>IFERROR(__xludf.DUMMYFUNCTION("if(isblank(A2599),,split(A2599,""-""))"),"")</f>
        <v/>
      </c>
      <c r="K2599" s="13" t="str">
        <f>IFERROR(__xludf.DUMMYFUNCTION("if(isblank(B2599),,split(B2599,""-""))"),"")</f>
        <v/>
      </c>
    </row>
    <row r="2600">
      <c r="A2600" s="132"/>
      <c r="B2600" s="41"/>
      <c r="C2600" s="9"/>
      <c r="D2600" s="133"/>
      <c r="E2600" s="133"/>
      <c r="F2600" s="24"/>
      <c r="G2600" s="24"/>
      <c r="I2600" s="13" t="str">
        <f>IFERROR(__xludf.DUMMYFUNCTION("if(isblank(A2600),,split(A2600,""-""))"),"")</f>
        <v/>
      </c>
      <c r="K2600" s="13" t="str">
        <f>IFERROR(__xludf.DUMMYFUNCTION("if(isblank(B2600),,split(B2600,""-""))"),"")</f>
        <v/>
      </c>
    </row>
    <row r="2601">
      <c r="A2601" s="132"/>
      <c r="B2601" s="41"/>
      <c r="C2601" s="9"/>
      <c r="D2601" s="133"/>
      <c r="E2601" s="133"/>
      <c r="F2601" s="24"/>
      <c r="G2601" s="24"/>
      <c r="I2601" s="13" t="str">
        <f>IFERROR(__xludf.DUMMYFUNCTION("if(isblank(A2601),,split(A2601,""-""))"),"")</f>
        <v/>
      </c>
      <c r="K2601" s="13" t="str">
        <f>IFERROR(__xludf.DUMMYFUNCTION("if(isblank(B2601),,split(B2601,""-""))"),"")</f>
        <v/>
      </c>
    </row>
    <row r="2602">
      <c r="A2602" s="132"/>
      <c r="B2602" s="41"/>
      <c r="C2602" s="9"/>
      <c r="D2602" s="133"/>
      <c r="E2602" s="133"/>
      <c r="F2602" s="24"/>
      <c r="G2602" s="24"/>
      <c r="I2602" s="13" t="str">
        <f>IFERROR(__xludf.DUMMYFUNCTION("if(isblank(A2602),,split(A2602,""-""))"),"")</f>
        <v/>
      </c>
      <c r="K2602" s="13" t="str">
        <f>IFERROR(__xludf.DUMMYFUNCTION("if(isblank(B2602),,split(B2602,""-""))"),"")</f>
        <v/>
      </c>
    </row>
    <row r="2603">
      <c r="A2603" s="132"/>
      <c r="B2603" s="41"/>
      <c r="C2603" s="9"/>
      <c r="D2603" s="133"/>
      <c r="E2603" s="133"/>
      <c r="F2603" s="24"/>
      <c r="G2603" s="24"/>
      <c r="I2603" s="13" t="str">
        <f>IFERROR(__xludf.DUMMYFUNCTION("if(isblank(A2603),,split(A2603,""-""))"),"")</f>
        <v/>
      </c>
      <c r="K2603" s="13" t="str">
        <f>IFERROR(__xludf.DUMMYFUNCTION("if(isblank(B2603),,split(B2603,""-""))"),"")</f>
        <v/>
      </c>
    </row>
    <row r="2604">
      <c r="A2604" s="132"/>
      <c r="B2604" s="41"/>
      <c r="C2604" s="9"/>
      <c r="D2604" s="133"/>
      <c r="E2604" s="133"/>
      <c r="F2604" s="24"/>
      <c r="G2604" s="24"/>
      <c r="I2604" s="13" t="str">
        <f>IFERROR(__xludf.DUMMYFUNCTION("if(isblank(A2604),,split(A2604,""-""))"),"")</f>
        <v/>
      </c>
      <c r="K2604" s="13" t="str">
        <f>IFERROR(__xludf.DUMMYFUNCTION("if(isblank(B2604),,split(B2604,""-""))"),"")</f>
        <v/>
      </c>
    </row>
    <row r="2605">
      <c r="A2605" s="132"/>
      <c r="B2605" s="41"/>
      <c r="C2605" s="9"/>
      <c r="D2605" s="133"/>
      <c r="E2605" s="133"/>
      <c r="F2605" s="24"/>
      <c r="G2605" s="24"/>
      <c r="I2605" s="13" t="str">
        <f>IFERROR(__xludf.DUMMYFUNCTION("if(isblank(A2605),,split(A2605,""-""))"),"")</f>
        <v/>
      </c>
      <c r="K2605" s="13" t="str">
        <f>IFERROR(__xludf.DUMMYFUNCTION("if(isblank(B2605),,split(B2605,""-""))"),"")</f>
        <v/>
      </c>
    </row>
    <row r="2606">
      <c r="A2606" s="132"/>
      <c r="B2606" s="41"/>
      <c r="C2606" s="9"/>
      <c r="D2606" s="133"/>
      <c r="E2606" s="133"/>
      <c r="F2606" s="24"/>
      <c r="G2606" s="24"/>
      <c r="I2606" s="13" t="str">
        <f>IFERROR(__xludf.DUMMYFUNCTION("if(isblank(A2606),,split(A2606,""-""))"),"")</f>
        <v/>
      </c>
      <c r="K2606" s="13" t="str">
        <f>IFERROR(__xludf.DUMMYFUNCTION("if(isblank(B2606),,split(B2606,""-""))"),"")</f>
        <v/>
      </c>
    </row>
    <row r="2607">
      <c r="A2607" s="132"/>
      <c r="B2607" s="41"/>
      <c r="C2607" s="9"/>
      <c r="D2607" s="133"/>
      <c r="E2607" s="133"/>
      <c r="F2607" s="24"/>
      <c r="G2607" s="24"/>
      <c r="I2607" s="13" t="str">
        <f>IFERROR(__xludf.DUMMYFUNCTION("if(isblank(A2607),,split(A2607,""-""))"),"")</f>
        <v/>
      </c>
      <c r="K2607" s="13" t="str">
        <f>IFERROR(__xludf.DUMMYFUNCTION("if(isblank(B2607),,split(B2607,""-""))"),"")</f>
        <v/>
      </c>
    </row>
    <row r="2608">
      <c r="A2608" s="132"/>
      <c r="B2608" s="41"/>
      <c r="C2608" s="9"/>
      <c r="D2608" s="133"/>
      <c r="E2608" s="133"/>
      <c r="F2608" s="24"/>
      <c r="G2608" s="24"/>
      <c r="I2608" s="13" t="str">
        <f>IFERROR(__xludf.DUMMYFUNCTION("if(isblank(A2608),,split(A2608,""-""))"),"")</f>
        <v/>
      </c>
      <c r="K2608" s="13" t="str">
        <f>IFERROR(__xludf.DUMMYFUNCTION("if(isblank(B2608),,split(B2608,""-""))"),"")</f>
        <v/>
      </c>
    </row>
    <row r="2609">
      <c r="A2609" s="132"/>
      <c r="B2609" s="41"/>
      <c r="C2609" s="9"/>
      <c r="D2609" s="133"/>
      <c r="E2609" s="133"/>
      <c r="F2609" s="24"/>
      <c r="G2609" s="24"/>
      <c r="I2609" s="13" t="str">
        <f>IFERROR(__xludf.DUMMYFUNCTION("if(isblank(A2609),,split(A2609,""-""))"),"")</f>
        <v/>
      </c>
      <c r="K2609" s="13" t="str">
        <f>IFERROR(__xludf.DUMMYFUNCTION("if(isblank(B2609),,split(B2609,""-""))"),"")</f>
        <v/>
      </c>
    </row>
    <row r="2610">
      <c r="A2610" s="132"/>
      <c r="B2610" s="41"/>
      <c r="C2610" s="9"/>
      <c r="D2610" s="133"/>
      <c r="E2610" s="133"/>
      <c r="F2610" s="24"/>
      <c r="G2610" s="24"/>
      <c r="I2610" s="13" t="str">
        <f>IFERROR(__xludf.DUMMYFUNCTION("if(isblank(A2610),,split(A2610,""-""))"),"")</f>
        <v/>
      </c>
      <c r="K2610" s="13" t="str">
        <f>IFERROR(__xludf.DUMMYFUNCTION("if(isblank(B2610),,split(B2610,""-""))"),"")</f>
        <v/>
      </c>
    </row>
    <row r="2611">
      <c r="A2611" s="132"/>
      <c r="B2611" s="41"/>
      <c r="C2611" s="9"/>
      <c r="D2611" s="133"/>
      <c r="E2611" s="133"/>
      <c r="F2611" s="24"/>
      <c r="G2611" s="24"/>
      <c r="I2611" s="13" t="str">
        <f>IFERROR(__xludf.DUMMYFUNCTION("if(isblank(A2611),,split(A2611,""-""))"),"")</f>
        <v/>
      </c>
      <c r="K2611" s="13" t="str">
        <f>IFERROR(__xludf.DUMMYFUNCTION("if(isblank(B2611),,split(B2611,""-""))"),"")</f>
        <v/>
      </c>
    </row>
    <row r="2612">
      <c r="A2612" s="132"/>
      <c r="B2612" s="41"/>
      <c r="C2612" s="9"/>
      <c r="D2612" s="133"/>
      <c r="E2612" s="133"/>
      <c r="F2612" s="24"/>
      <c r="G2612" s="24"/>
      <c r="I2612" s="13" t="str">
        <f>IFERROR(__xludf.DUMMYFUNCTION("if(isblank(A2612),,split(A2612,""-""))"),"")</f>
        <v/>
      </c>
      <c r="K2612" s="13" t="str">
        <f>IFERROR(__xludf.DUMMYFUNCTION("if(isblank(B2612),,split(B2612,""-""))"),"")</f>
        <v/>
      </c>
    </row>
    <row r="2613">
      <c r="A2613" s="132"/>
      <c r="B2613" s="41"/>
      <c r="C2613" s="9"/>
      <c r="D2613" s="133"/>
      <c r="E2613" s="133"/>
      <c r="F2613" s="24"/>
      <c r="G2613" s="24"/>
      <c r="I2613" s="13" t="str">
        <f>IFERROR(__xludf.DUMMYFUNCTION("if(isblank(A2613),,split(A2613,""-""))"),"")</f>
        <v/>
      </c>
      <c r="K2613" s="13" t="str">
        <f>IFERROR(__xludf.DUMMYFUNCTION("if(isblank(B2613),,split(B2613,""-""))"),"")</f>
        <v/>
      </c>
    </row>
    <row r="2614">
      <c r="A2614" s="132"/>
      <c r="B2614" s="41"/>
      <c r="C2614" s="9"/>
      <c r="D2614" s="133"/>
      <c r="E2614" s="133"/>
      <c r="F2614" s="24"/>
      <c r="G2614" s="24"/>
      <c r="I2614" s="13" t="str">
        <f>IFERROR(__xludf.DUMMYFUNCTION("if(isblank(A2614),,split(A2614,""-""))"),"")</f>
        <v/>
      </c>
      <c r="K2614" s="13" t="str">
        <f>IFERROR(__xludf.DUMMYFUNCTION("if(isblank(B2614),,split(B2614,""-""))"),"")</f>
        <v/>
      </c>
    </row>
    <row r="2615">
      <c r="A2615" s="132"/>
      <c r="B2615" s="41"/>
      <c r="C2615" s="9"/>
      <c r="D2615" s="133"/>
      <c r="E2615" s="133"/>
      <c r="F2615" s="24"/>
      <c r="G2615" s="24"/>
      <c r="I2615" s="13" t="str">
        <f>IFERROR(__xludf.DUMMYFUNCTION("if(isblank(A2615),,split(A2615,""-""))"),"")</f>
        <v/>
      </c>
      <c r="K2615" s="13" t="str">
        <f>IFERROR(__xludf.DUMMYFUNCTION("if(isblank(B2615),,split(B2615,""-""))"),"")</f>
        <v/>
      </c>
    </row>
    <row r="2616">
      <c r="A2616" s="132"/>
      <c r="B2616" s="41"/>
      <c r="C2616" s="9"/>
      <c r="D2616" s="133"/>
      <c r="E2616" s="133"/>
      <c r="F2616" s="24"/>
      <c r="G2616" s="24"/>
      <c r="I2616" s="13" t="str">
        <f>IFERROR(__xludf.DUMMYFUNCTION("if(isblank(A2616),,split(A2616,""-""))"),"")</f>
        <v/>
      </c>
      <c r="K2616" s="13" t="str">
        <f>IFERROR(__xludf.DUMMYFUNCTION("if(isblank(B2616),,split(B2616,""-""))"),"")</f>
        <v/>
      </c>
    </row>
    <row r="2617">
      <c r="A2617" s="132"/>
      <c r="B2617" s="41"/>
      <c r="C2617" s="9"/>
      <c r="D2617" s="133"/>
      <c r="E2617" s="133"/>
      <c r="F2617" s="24"/>
      <c r="G2617" s="24"/>
      <c r="I2617" s="13" t="str">
        <f>IFERROR(__xludf.DUMMYFUNCTION("if(isblank(A2617),,split(A2617,""-""))"),"")</f>
        <v/>
      </c>
      <c r="K2617" s="13" t="str">
        <f>IFERROR(__xludf.DUMMYFUNCTION("if(isblank(B2617),,split(B2617,""-""))"),"")</f>
        <v/>
      </c>
    </row>
    <row r="2618">
      <c r="A2618" s="132"/>
      <c r="B2618" s="41"/>
      <c r="C2618" s="9"/>
      <c r="D2618" s="133"/>
      <c r="E2618" s="133"/>
      <c r="F2618" s="24"/>
      <c r="G2618" s="24"/>
      <c r="I2618" s="13" t="str">
        <f>IFERROR(__xludf.DUMMYFUNCTION("if(isblank(A2618),,split(A2618,""-""))"),"")</f>
        <v/>
      </c>
      <c r="K2618" s="13" t="str">
        <f>IFERROR(__xludf.DUMMYFUNCTION("if(isblank(B2618),,split(B2618,""-""))"),"")</f>
        <v/>
      </c>
    </row>
    <row r="2619">
      <c r="A2619" s="132"/>
      <c r="B2619" s="41"/>
      <c r="C2619" s="9"/>
      <c r="D2619" s="133"/>
      <c r="E2619" s="133"/>
      <c r="F2619" s="24"/>
      <c r="G2619" s="24"/>
      <c r="I2619" s="13" t="str">
        <f>IFERROR(__xludf.DUMMYFUNCTION("if(isblank(A2619),,split(A2619,""-""))"),"")</f>
        <v/>
      </c>
      <c r="K2619" s="13" t="str">
        <f>IFERROR(__xludf.DUMMYFUNCTION("if(isblank(B2619),,split(B2619,""-""))"),"")</f>
        <v/>
      </c>
    </row>
    <row r="2620">
      <c r="A2620" s="132"/>
      <c r="B2620" s="41"/>
      <c r="C2620" s="9"/>
      <c r="D2620" s="133"/>
      <c r="E2620" s="133"/>
      <c r="F2620" s="24"/>
      <c r="G2620" s="24"/>
      <c r="I2620" s="13" t="str">
        <f>IFERROR(__xludf.DUMMYFUNCTION("if(isblank(A2620),,split(A2620,""-""))"),"")</f>
        <v/>
      </c>
      <c r="K2620" s="13" t="str">
        <f>IFERROR(__xludf.DUMMYFUNCTION("if(isblank(B2620),,split(B2620,""-""))"),"")</f>
        <v/>
      </c>
    </row>
    <row r="2621">
      <c r="A2621" s="132"/>
      <c r="B2621" s="41"/>
      <c r="C2621" s="9"/>
      <c r="D2621" s="133"/>
      <c r="E2621" s="133"/>
      <c r="F2621" s="24"/>
      <c r="G2621" s="24"/>
      <c r="I2621" s="13" t="str">
        <f>IFERROR(__xludf.DUMMYFUNCTION("if(isblank(A2621),,split(A2621,""-""))"),"")</f>
        <v/>
      </c>
      <c r="K2621" s="13" t="str">
        <f>IFERROR(__xludf.DUMMYFUNCTION("if(isblank(B2621),,split(B2621,""-""))"),"")</f>
        <v/>
      </c>
    </row>
    <row r="2622">
      <c r="A2622" s="132"/>
      <c r="B2622" s="41"/>
      <c r="C2622" s="9"/>
      <c r="D2622" s="133"/>
      <c r="E2622" s="133"/>
      <c r="F2622" s="24"/>
      <c r="G2622" s="24"/>
      <c r="I2622" s="13" t="str">
        <f>IFERROR(__xludf.DUMMYFUNCTION("if(isblank(A2622),,split(A2622,""-""))"),"")</f>
        <v/>
      </c>
      <c r="K2622" s="13" t="str">
        <f>IFERROR(__xludf.DUMMYFUNCTION("if(isblank(B2622),,split(B2622,""-""))"),"")</f>
        <v/>
      </c>
    </row>
    <row r="2623">
      <c r="A2623" s="132"/>
      <c r="B2623" s="41"/>
      <c r="C2623" s="9"/>
      <c r="D2623" s="133"/>
      <c r="E2623" s="133"/>
      <c r="F2623" s="24"/>
      <c r="G2623" s="24"/>
      <c r="I2623" s="13" t="str">
        <f>IFERROR(__xludf.DUMMYFUNCTION("if(isblank(A2623),,split(A2623,""-""))"),"")</f>
        <v/>
      </c>
      <c r="K2623" s="13" t="str">
        <f>IFERROR(__xludf.DUMMYFUNCTION("if(isblank(B2623),,split(B2623,""-""))"),"")</f>
        <v/>
      </c>
    </row>
    <row r="2624">
      <c r="A2624" s="132"/>
      <c r="B2624" s="41"/>
      <c r="C2624" s="9"/>
      <c r="D2624" s="133"/>
      <c r="E2624" s="133"/>
      <c r="F2624" s="24"/>
      <c r="G2624" s="24"/>
      <c r="I2624" s="13" t="str">
        <f>IFERROR(__xludf.DUMMYFUNCTION("if(isblank(A2624),,split(A2624,""-""))"),"")</f>
        <v/>
      </c>
      <c r="K2624" s="13" t="str">
        <f>IFERROR(__xludf.DUMMYFUNCTION("if(isblank(B2624),,split(B2624,""-""))"),"")</f>
        <v/>
      </c>
    </row>
    <row r="2625">
      <c r="A2625" s="132"/>
      <c r="B2625" s="41"/>
      <c r="C2625" s="9"/>
      <c r="D2625" s="133"/>
      <c r="E2625" s="133"/>
      <c r="F2625" s="24"/>
      <c r="G2625" s="24"/>
      <c r="I2625" s="13" t="str">
        <f>IFERROR(__xludf.DUMMYFUNCTION("if(isblank(A2625),,split(A2625,""-""))"),"")</f>
        <v/>
      </c>
      <c r="K2625" s="13" t="str">
        <f>IFERROR(__xludf.DUMMYFUNCTION("if(isblank(B2625),,split(B2625,""-""))"),"")</f>
        <v/>
      </c>
    </row>
    <row r="2626">
      <c r="A2626" s="132"/>
      <c r="B2626" s="41"/>
      <c r="C2626" s="9"/>
      <c r="D2626" s="133"/>
      <c r="E2626" s="133"/>
      <c r="F2626" s="24"/>
      <c r="G2626" s="24"/>
      <c r="I2626" s="13" t="str">
        <f>IFERROR(__xludf.DUMMYFUNCTION("if(isblank(A2626),,split(A2626,""-""))"),"")</f>
        <v/>
      </c>
      <c r="K2626" s="13" t="str">
        <f>IFERROR(__xludf.DUMMYFUNCTION("if(isblank(B2626),,split(B2626,""-""))"),"")</f>
        <v/>
      </c>
    </row>
    <row r="2627">
      <c r="A2627" s="132"/>
      <c r="B2627" s="41"/>
      <c r="C2627" s="9"/>
      <c r="D2627" s="133"/>
      <c r="E2627" s="133"/>
      <c r="F2627" s="24"/>
      <c r="G2627" s="24"/>
      <c r="I2627" s="13" t="str">
        <f>IFERROR(__xludf.DUMMYFUNCTION("if(isblank(A2627),,split(A2627,""-""))"),"")</f>
        <v/>
      </c>
      <c r="K2627" s="13" t="str">
        <f>IFERROR(__xludf.DUMMYFUNCTION("if(isblank(B2627),,split(B2627,""-""))"),"")</f>
        <v/>
      </c>
    </row>
    <row r="2628">
      <c r="A2628" s="132"/>
      <c r="B2628" s="41"/>
      <c r="C2628" s="9"/>
      <c r="D2628" s="133"/>
      <c r="E2628" s="133"/>
      <c r="F2628" s="24"/>
      <c r="G2628" s="24"/>
      <c r="I2628" s="13" t="str">
        <f>IFERROR(__xludf.DUMMYFUNCTION("if(isblank(A2628),,split(A2628,""-""))"),"")</f>
        <v/>
      </c>
      <c r="K2628" s="13" t="str">
        <f>IFERROR(__xludf.DUMMYFUNCTION("if(isblank(B2628),,split(B2628,""-""))"),"")</f>
        <v/>
      </c>
    </row>
    <row r="2629">
      <c r="A2629" s="132"/>
      <c r="B2629" s="41"/>
      <c r="C2629" s="9"/>
      <c r="D2629" s="133"/>
      <c r="E2629" s="133"/>
      <c r="F2629" s="24"/>
      <c r="G2629" s="24"/>
      <c r="I2629" s="13" t="str">
        <f>IFERROR(__xludf.DUMMYFUNCTION("if(isblank(A2629),,split(A2629,""-""))"),"")</f>
        <v/>
      </c>
      <c r="K2629" s="13" t="str">
        <f>IFERROR(__xludf.DUMMYFUNCTION("if(isblank(B2629),,split(B2629,""-""))"),"")</f>
        <v/>
      </c>
    </row>
    <row r="2630">
      <c r="A2630" s="132"/>
      <c r="B2630" s="41"/>
      <c r="C2630" s="9"/>
      <c r="D2630" s="133"/>
      <c r="E2630" s="133"/>
      <c r="F2630" s="24"/>
      <c r="G2630" s="24"/>
      <c r="I2630" s="13" t="str">
        <f>IFERROR(__xludf.DUMMYFUNCTION("if(isblank(A2630),,split(A2630,""-""))"),"")</f>
        <v/>
      </c>
      <c r="K2630" s="13" t="str">
        <f>IFERROR(__xludf.DUMMYFUNCTION("if(isblank(B2630),,split(B2630,""-""))"),"")</f>
        <v/>
      </c>
    </row>
    <row r="2631">
      <c r="A2631" s="132"/>
      <c r="B2631" s="41"/>
      <c r="C2631" s="9"/>
      <c r="D2631" s="133"/>
      <c r="E2631" s="133"/>
      <c r="F2631" s="24"/>
      <c r="G2631" s="24"/>
      <c r="I2631" s="13" t="str">
        <f>IFERROR(__xludf.DUMMYFUNCTION("if(isblank(A2631),,split(A2631,""-""))"),"")</f>
        <v/>
      </c>
      <c r="K2631" s="13" t="str">
        <f>IFERROR(__xludf.DUMMYFUNCTION("if(isblank(B2631),,split(B2631,""-""))"),"")</f>
        <v/>
      </c>
    </row>
    <row r="2632">
      <c r="A2632" s="132"/>
      <c r="B2632" s="41"/>
      <c r="C2632" s="9"/>
      <c r="D2632" s="133"/>
      <c r="E2632" s="133"/>
      <c r="F2632" s="24"/>
      <c r="G2632" s="24"/>
      <c r="I2632" s="13" t="str">
        <f>IFERROR(__xludf.DUMMYFUNCTION("if(isblank(A2632),,split(A2632,""-""))"),"")</f>
        <v/>
      </c>
      <c r="K2632" s="13" t="str">
        <f>IFERROR(__xludf.DUMMYFUNCTION("if(isblank(B2632),,split(B2632,""-""))"),"")</f>
        <v/>
      </c>
    </row>
    <row r="2633">
      <c r="A2633" s="132"/>
      <c r="B2633" s="41"/>
      <c r="C2633" s="9"/>
      <c r="D2633" s="133"/>
      <c r="E2633" s="133"/>
      <c r="F2633" s="24"/>
      <c r="G2633" s="24"/>
      <c r="I2633" s="13" t="str">
        <f>IFERROR(__xludf.DUMMYFUNCTION("if(isblank(A2633),,split(A2633,""-""))"),"")</f>
        <v/>
      </c>
      <c r="K2633" s="13" t="str">
        <f>IFERROR(__xludf.DUMMYFUNCTION("if(isblank(B2633),,split(B2633,""-""))"),"")</f>
        <v/>
      </c>
    </row>
    <row r="2634">
      <c r="A2634" s="132"/>
      <c r="B2634" s="41"/>
      <c r="C2634" s="9"/>
      <c r="D2634" s="133"/>
      <c r="E2634" s="133"/>
      <c r="F2634" s="24"/>
      <c r="G2634" s="24"/>
      <c r="I2634" s="13" t="str">
        <f>IFERROR(__xludf.DUMMYFUNCTION("if(isblank(A2634),,split(A2634,""-""))"),"")</f>
        <v/>
      </c>
      <c r="K2634" s="13" t="str">
        <f>IFERROR(__xludf.DUMMYFUNCTION("if(isblank(B2634),,split(B2634,""-""))"),"")</f>
        <v/>
      </c>
    </row>
    <row r="2635">
      <c r="A2635" s="132"/>
      <c r="B2635" s="41"/>
      <c r="C2635" s="9"/>
      <c r="D2635" s="133"/>
      <c r="E2635" s="133"/>
      <c r="F2635" s="24"/>
      <c r="G2635" s="24"/>
      <c r="I2635" s="13" t="str">
        <f>IFERROR(__xludf.DUMMYFUNCTION("if(isblank(A2635),,split(A2635,""-""))"),"")</f>
        <v/>
      </c>
      <c r="K2635" s="13" t="str">
        <f>IFERROR(__xludf.DUMMYFUNCTION("if(isblank(B2635),,split(B2635,""-""))"),"")</f>
        <v/>
      </c>
    </row>
    <row r="2636">
      <c r="A2636" s="132"/>
      <c r="B2636" s="41"/>
      <c r="C2636" s="9"/>
      <c r="D2636" s="133"/>
      <c r="E2636" s="133"/>
      <c r="F2636" s="24"/>
      <c r="G2636" s="24"/>
      <c r="I2636" s="13" t="str">
        <f>IFERROR(__xludf.DUMMYFUNCTION("if(isblank(A2636),,split(A2636,""-""))"),"")</f>
        <v/>
      </c>
      <c r="K2636" s="13" t="str">
        <f>IFERROR(__xludf.DUMMYFUNCTION("if(isblank(B2636),,split(B2636,""-""))"),"")</f>
        <v/>
      </c>
    </row>
    <row r="2637">
      <c r="A2637" s="132"/>
      <c r="B2637" s="41"/>
      <c r="C2637" s="9"/>
      <c r="D2637" s="133"/>
      <c r="E2637" s="133"/>
      <c r="F2637" s="24"/>
      <c r="G2637" s="24"/>
      <c r="I2637" s="13" t="str">
        <f>IFERROR(__xludf.DUMMYFUNCTION("if(isblank(A2637),,split(A2637,""-""))"),"")</f>
        <v/>
      </c>
      <c r="K2637" s="13" t="str">
        <f>IFERROR(__xludf.DUMMYFUNCTION("if(isblank(B2637),,split(B2637,""-""))"),"")</f>
        <v/>
      </c>
    </row>
    <row r="2638">
      <c r="A2638" s="132"/>
      <c r="B2638" s="41"/>
      <c r="C2638" s="9"/>
      <c r="D2638" s="133"/>
      <c r="E2638" s="133"/>
      <c r="F2638" s="24"/>
      <c r="G2638" s="24"/>
      <c r="I2638" s="13" t="str">
        <f>IFERROR(__xludf.DUMMYFUNCTION("if(isblank(A2638),,split(A2638,""-""))"),"")</f>
        <v/>
      </c>
      <c r="K2638" s="13" t="str">
        <f>IFERROR(__xludf.DUMMYFUNCTION("if(isblank(B2638),,split(B2638,""-""))"),"")</f>
        <v/>
      </c>
    </row>
    <row r="2639">
      <c r="A2639" s="132"/>
      <c r="B2639" s="41"/>
      <c r="C2639" s="9"/>
      <c r="D2639" s="133"/>
      <c r="E2639" s="133"/>
      <c r="F2639" s="24"/>
      <c r="G2639" s="24"/>
      <c r="I2639" s="13" t="str">
        <f>IFERROR(__xludf.DUMMYFUNCTION("if(isblank(A2639),,split(A2639,""-""))"),"")</f>
        <v/>
      </c>
      <c r="K2639" s="13" t="str">
        <f>IFERROR(__xludf.DUMMYFUNCTION("if(isblank(B2639),,split(B2639,""-""))"),"")</f>
        <v/>
      </c>
    </row>
    <row r="2640">
      <c r="A2640" s="132"/>
      <c r="B2640" s="41"/>
      <c r="C2640" s="9"/>
      <c r="D2640" s="133"/>
      <c r="E2640" s="133"/>
      <c r="F2640" s="24"/>
      <c r="G2640" s="24"/>
      <c r="I2640" s="13" t="str">
        <f>IFERROR(__xludf.DUMMYFUNCTION("if(isblank(A2640),,split(A2640,""-""))"),"")</f>
        <v/>
      </c>
      <c r="K2640" s="13" t="str">
        <f>IFERROR(__xludf.DUMMYFUNCTION("if(isblank(B2640),,split(B2640,""-""))"),"")</f>
        <v/>
      </c>
    </row>
    <row r="2641">
      <c r="A2641" s="132"/>
      <c r="B2641" s="41"/>
      <c r="C2641" s="9"/>
      <c r="D2641" s="133"/>
      <c r="E2641" s="133"/>
      <c r="F2641" s="24"/>
      <c r="G2641" s="24"/>
      <c r="I2641" s="13" t="str">
        <f>IFERROR(__xludf.DUMMYFUNCTION("if(isblank(A2641),,split(A2641,""-""))"),"")</f>
        <v/>
      </c>
      <c r="K2641" s="13" t="str">
        <f>IFERROR(__xludf.DUMMYFUNCTION("if(isblank(B2641),,split(B2641,""-""))"),"")</f>
        <v/>
      </c>
    </row>
    <row r="2642">
      <c r="A2642" s="132"/>
      <c r="B2642" s="41"/>
      <c r="C2642" s="9"/>
      <c r="D2642" s="133"/>
      <c r="E2642" s="133"/>
      <c r="F2642" s="24"/>
      <c r="G2642" s="24"/>
      <c r="I2642" s="13" t="str">
        <f>IFERROR(__xludf.DUMMYFUNCTION("if(isblank(A2642),,split(A2642,""-""))"),"")</f>
        <v/>
      </c>
      <c r="K2642" s="13" t="str">
        <f>IFERROR(__xludf.DUMMYFUNCTION("if(isblank(B2642),,split(B2642,""-""))"),"")</f>
        <v/>
      </c>
    </row>
    <row r="2643">
      <c r="A2643" s="132"/>
      <c r="B2643" s="41"/>
      <c r="C2643" s="9"/>
      <c r="D2643" s="133"/>
      <c r="E2643" s="133"/>
      <c r="F2643" s="24"/>
      <c r="G2643" s="24"/>
      <c r="I2643" s="13" t="str">
        <f>IFERROR(__xludf.DUMMYFUNCTION("if(isblank(A2643),,split(A2643,""-""))"),"")</f>
        <v/>
      </c>
      <c r="K2643" s="13" t="str">
        <f>IFERROR(__xludf.DUMMYFUNCTION("if(isblank(B2643),,split(B2643,""-""))"),"")</f>
        <v/>
      </c>
    </row>
    <row r="2644">
      <c r="A2644" s="132"/>
      <c r="B2644" s="41"/>
      <c r="C2644" s="9"/>
      <c r="D2644" s="133"/>
      <c r="E2644" s="133"/>
      <c r="F2644" s="24"/>
      <c r="G2644" s="24"/>
      <c r="I2644" s="13" t="str">
        <f>IFERROR(__xludf.DUMMYFUNCTION("if(isblank(A2644),,split(A2644,""-""))"),"")</f>
        <v/>
      </c>
      <c r="K2644" s="13" t="str">
        <f>IFERROR(__xludf.DUMMYFUNCTION("if(isblank(B2644),,split(B2644,""-""))"),"")</f>
        <v/>
      </c>
    </row>
    <row r="2645">
      <c r="A2645" s="132"/>
      <c r="B2645" s="41"/>
      <c r="C2645" s="9"/>
      <c r="D2645" s="133"/>
      <c r="E2645" s="133"/>
      <c r="F2645" s="24"/>
      <c r="G2645" s="24"/>
      <c r="I2645" s="13" t="str">
        <f>IFERROR(__xludf.DUMMYFUNCTION("if(isblank(A2645),,split(A2645,""-""))"),"")</f>
        <v/>
      </c>
      <c r="K2645" s="13" t="str">
        <f>IFERROR(__xludf.DUMMYFUNCTION("if(isblank(B2645),,split(B2645,""-""))"),"")</f>
        <v/>
      </c>
    </row>
    <row r="2646">
      <c r="A2646" s="132"/>
      <c r="B2646" s="41"/>
      <c r="C2646" s="9"/>
      <c r="D2646" s="133"/>
      <c r="E2646" s="133"/>
      <c r="F2646" s="24"/>
      <c r="G2646" s="24"/>
      <c r="I2646" s="13" t="str">
        <f>IFERROR(__xludf.DUMMYFUNCTION("if(isblank(A2646),,split(A2646,""-""))"),"")</f>
        <v/>
      </c>
      <c r="K2646" s="13" t="str">
        <f>IFERROR(__xludf.DUMMYFUNCTION("if(isblank(B2646),,split(B2646,""-""))"),"")</f>
        <v/>
      </c>
    </row>
    <row r="2647">
      <c r="A2647" s="132"/>
      <c r="B2647" s="41"/>
      <c r="C2647" s="9"/>
      <c r="D2647" s="133"/>
      <c r="E2647" s="133"/>
      <c r="F2647" s="24"/>
      <c r="G2647" s="24"/>
      <c r="I2647" s="13" t="str">
        <f>IFERROR(__xludf.DUMMYFUNCTION("if(isblank(A2647),,split(A2647,""-""))"),"")</f>
        <v/>
      </c>
      <c r="K2647" s="13" t="str">
        <f>IFERROR(__xludf.DUMMYFUNCTION("if(isblank(B2647),,split(B2647,""-""))"),"")</f>
        <v/>
      </c>
    </row>
    <row r="2648">
      <c r="A2648" s="132"/>
      <c r="B2648" s="41"/>
      <c r="C2648" s="9"/>
      <c r="D2648" s="133"/>
      <c r="E2648" s="133"/>
      <c r="F2648" s="24"/>
      <c r="G2648" s="24"/>
      <c r="I2648" s="13" t="str">
        <f>IFERROR(__xludf.DUMMYFUNCTION("if(isblank(A2648),,split(A2648,""-""))"),"")</f>
        <v/>
      </c>
      <c r="K2648" s="13" t="str">
        <f>IFERROR(__xludf.DUMMYFUNCTION("if(isblank(B2648),,split(B2648,""-""))"),"")</f>
        <v/>
      </c>
    </row>
    <row r="2649">
      <c r="A2649" s="132"/>
      <c r="B2649" s="41"/>
      <c r="C2649" s="9"/>
      <c r="D2649" s="133"/>
      <c r="E2649" s="133"/>
      <c r="F2649" s="24"/>
      <c r="G2649" s="24"/>
      <c r="I2649" s="13" t="str">
        <f>IFERROR(__xludf.DUMMYFUNCTION("if(isblank(A2649),,split(A2649,""-""))"),"")</f>
        <v/>
      </c>
      <c r="K2649" s="13" t="str">
        <f>IFERROR(__xludf.DUMMYFUNCTION("if(isblank(B2649),,split(B2649,""-""))"),"")</f>
        <v/>
      </c>
    </row>
    <row r="2650">
      <c r="A2650" s="132"/>
      <c r="B2650" s="41"/>
      <c r="C2650" s="9"/>
      <c r="D2650" s="133"/>
      <c r="E2650" s="133"/>
      <c r="F2650" s="24"/>
      <c r="G2650" s="24"/>
      <c r="I2650" s="13" t="str">
        <f>IFERROR(__xludf.DUMMYFUNCTION("if(isblank(A2650),,split(A2650,""-""))"),"")</f>
        <v/>
      </c>
      <c r="K2650" s="13" t="str">
        <f>IFERROR(__xludf.DUMMYFUNCTION("if(isblank(B2650),,split(B2650,""-""))"),"")</f>
        <v/>
      </c>
    </row>
    <row r="2651">
      <c r="A2651" s="132"/>
      <c r="B2651" s="41"/>
      <c r="C2651" s="9"/>
      <c r="D2651" s="133"/>
      <c r="E2651" s="133"/>
      <c r="F2651" s="24"/>
      <c r="G2651" s="24"/>
      <c r="I2651" s="13" t="str">
        <f>IFERROR(__xludf.DUMMYFUNCTION("if(isblank(A2651),,split(A2651,""-""))"),"")</f>
        <v/>
      </c>
      <c r="K2651" s="13" t="str">
        <f>IFERROR(__xludf.DUMMYFUNCTION("if(isblank(B2651),,split(B2651,""-""))"),"")</f>
        <v/>
      </c>
    </row>
    <row r="2652">
      <c r="A2652" s="132"/>
      <c r="B2652" s="41"/>
      <c r="C2652" s="9"/>
      <c r="D2652" s="133"/>
      <c r="E2652" s="133"/>
      <c r="F2652" s="24"/>
      <c r="G2652" s="24"/>
      <c r="I2652" s="13" t="str">
        <f>IFERROR(__xludf.DUMMYFUNCTION("if(isblank(A2652),,split(A2652,""-""))"),"")</f>
        <v/>
      </c>
      <c r="K2652" s="13" t="str">
        <f>IFERROR(__xludf.DUMMYFUNCTION("if(isblank(B2652),,split(B2652,""-""))"),"")</f>
        <v/>
      </c>
    </row>
    <row r="2653">
      <c r="A2653" s="132"/>
      <c r="B2653" s="41"/>
      <c r="C2653" s="9"/>
      <c r="D2653" s="133"/>
      <c r="E2653" s="133"/>
      <c r="F2653" s="24"/>
      <c r="G2653" s="24"/>
      <c r="I2653" s="13" t="str">
        <f>IFERROR(__xludf.DUMMYFUNCTION("if(isblank(A2653),,split(A2653,""-""))"),"")</f>
        <v/>
      </c>
      <c r="K2653" s="13" t="str">
        <f>IFERROR(__xludf.DUMMYFUNCTION("if(isblank(B2653),,split(B2653,""-""))"),"")</f>
        <v/>
      </c>
    </row>
    <row r="2654">
      <c r="A2654" s="132"/>
      <c r="B2654" s="41"/>
      <c r="C2654" s="9"/>
      <c r="D2654" s="133"/>
      <c r="E2654" s="133"/>
      <c r="F2654" s="24"/>
      <c r="G2654" s="24"/>
      <c r="I2654" s="13" t="str">
        <f>IFERROR(__xludf.DUMMYFUNCTION("if(isblank(A2654),,split(A2654,""-""))"),"")</f>
        <v/>
      </c>
      <c r="K2654" s="13" t="str">
        <f>IFERROR(__xludf.DUMMYFUNCTION("if(isblank(B2654),,split(B2654,""-""))"),"")</f>
        <v/>
      </c>
    </row>
    <row r="2655">
      <c r="A2655" s="132"/>
      <c r="B2655" s="41"/>
      <c r="C2655" s="9"/>
      <c r="D2655" s="133"/>
      <c r="E2655" s="133"/>
      <c r="F2655" s="24"/>
      <c r="G2655" s="24"/>
      <c r="I2655" s="13" t="str">
        <f>IFERROR(__xludf.DUMMYFUNCTION("if(isblank(A2655),,split(A2655,""-""))"),"")</f>
        <v/>
      </c>
      <c r="K2655" s="13" t="str">
        <f>IFERROR(__xludf.DUMMYFUNCTION("if(isblank(B2655),,split(B2655,""-""))"),"")</f>
        <v/>
      </c>
    </row>
    <row r="2656">
      <c r="A2656" s="132"/>
      <c r="B2656" s="41"/>
      <c r="C2656" s="9"/>
      <c r="D2656" s="133"/>
      <c r="E2656" s="133"/>
      <c r="F2656" s="24"/>
      <c r="G2656" s="24"/>
      <c r="I2656" s="13" t="str">
        <f>IFERROR(__xludf.DUMMYFUNCTION("if(isblank(A2656),,split(A2656,""-""))"),"")</f>
        <v/>
      </c>
      <c r="K2656" s="13" t="str">
        <f>IFERROR(__xludf.DUMMYFUNCTION("if(isblank(B2656),,split(B2656,""-""))"),"")</f>
        <v/>
      </c>
    </row>
    <row r="2657">
      <c r="A2657" s="132"/>
      <c r="B2657" s="41"/>
      <c r="C2657" s="9"/>
      <c r="D2657" s="133"/>
      <c r="E2657" s="133"/>
      <c r="F2657" s="24"/>
      <c r="G2657" s="24"/>
      <c r="I2657" s="13" t="str">
        <f>IFERROR(__xludf.DUMMYFUNCTION("if(isblank(A2657),,split(A2657,""-""))"),"")</f>
        <v/>
      </c>
      <c r="K2657" s="13" t="str">
        <f>IFERROR(__xludf.DUMMYFUNCTION("if(isblank(B2657),,split(B2657,""-""))"),"")</f>
        <v/>
      </c>
    </row>
    <row r="2658">
      <c r="A2658" s="132"/>
      <c r="B2658" s="41"/>
      <c r="C2658" s="9"/>
      <c r="D2658" s="133"/>
      <c r="E2658" s="133"/>
      <c r="F2658" s="24"/>
      <c r="G2658" s="24"/>
      <c r="I2658" s="13" t="str">
        <f>IFERROR(__xludf.DUMMYFUNCTION("if(isblank(A2658),,split(A2658,""-""))"),"")</f>
        <v/>
      </c>
      <c r="K2658" s="13" t="str">
        <f>IFERROR(__xludf.DUMMYFUNCTION("if(isblank(B2658),,split(B2658,""-""))"),"")</f>
        <v/>
      </c>
    </row>
    <row r="2659">
      <c r="A2659" s="132"/>
      <c r="B2659" s="41"/>
      <c r="C2659" s="9"/>
      <c r="D2659" s="133"/>
      <c r="E2659" s="133"/>
      <c r="F2659" s="24"/>
      <c r="G2659" s="24"/>
      <c r="I2659" s="13" t="str">
        <f>IFERROR(__xludf.DUMMYFUNCTION("if(isblank(A2659),,split(A2659,""-""))"),"")</f>
        <v/>
      </c>
      <c r="K2659" s="13" t="str">
        <f>IFERROR(__xludf.DUMMYFUNCTION("if(isblank(B2659),,split(B2659,""-""))"),"")</f>
        <v/>
      </c>
    </row>
    <row r="2660">
      <c r="A2660" s="132"/>
      <c r="B2660" s="41"/>
      <c r="C2660" s="9"/>
      <c r="D2660" s="133"/>
      <c r="E2660" s="133"/>
      <c r="F2660" s="24"/>
      <c r="G2660" s="24"/>
      <c r="I2660" s="13" t="str">
        <f>IFERROR(__xludf.DUMMYFUNCTION("if(isblank(A2660),,split(A2660,""-""))"),"")</f>
        <v/>
      </c>
      <c r="K2660" s="13" t="str">
        <f>IFERROR(__xludf.DUMMYFUNCTION("if(isblank(B2660),,split(B2660,""-""))"),"")</f>
        <v/>
      </c>
    </row>
    <row r="2661">
      <c r="A2661" s="132"/>
      <c r="B2661" s="41"/>
      <c r="C2661" s="9"/>
      <c r="D2661" s="133"/>
      <c r="E2661" s="133"/>
      <c r="F2661" s="24"/>
      <c r="G2661" s="24"/>
      <c r="I2661" s="13" t="str">
        <f>IFERROR(__xludf.DUMMYFUNCTION("if(isblank(A2661),,split(A2661,""-""))"),"")</f>
        <v/>
      </c>
      <c r="K2661" s="13" t="str">
        <f>IFERROR(__xludf.DUMMYFUNCTION("if(isblank(B2661),,split(B2661,""-""))"),"")</f>
        <v/>
      </c>
    </row>
    <row r="2662">
      <c r="A2662" s="132"/>
      <c r="B2662" s="41"/>
      <c r="C2662" s="9"/>
      <c r="D2662" s="133"/>
      <c r="E2662" s="133"/>
      <c r="F2662" s="24"/>
      <c r="G2662" s="24"/>
      <c r="I2662" s="13" t="str">
        <f>IFERROR(__xludf.DUMMYFUNCTION("if(isblank(A2662),,split(A2662,""-""))"),"")</f>
        <v/>
      </c>
      <c r="K2662" s="13" t="str">
        <f>IFERROR(__xludf.DUMMYFUNCTION("if(isblank(B2662),,split(B2662,""-""))"),"")</f>
        <v/>
      </c>
    </row>
    <row r="2663">
      <c r="A2663" s="132"/>
      <c r="B2663" s="41"/>
      <c r="C2663" s="9"/>
      <c r="D2663" s="133"/>
      <c r="E2663" s="133"/>
      <c r="F2663" s="24"/>
      <c r="G2663" s="24"/>
      <c r="I2663" s="13" t="str">
        <f>IFERROR(__xludf.DUMMYFUNCTION("if(isblank(A2663),,split(A2663,""-""))"),"")</f>
        <v/>
      </c>
      <c r="K2663" s="13" t="str">
        <f>IFERROR(__xludf.DUMMYFUNCTION("if(isblank(B2663),,split(B2663,""-""))"),"")</f>
        <v/>
      </c>
    </row>
    <row r="2664">
      <c r="A2664" s="132"/>
      <c r="B2664" s="41"/>
      <c r="C2664" s="9"/>
      <c r="D2664" s="133"/>
      <c r="E2664" s="133"/>
      <c r="F2664" s="24"/>
      <c r="G2664" s="24"/>
      <c r="I2664" s="13" t="str">
        <f>IFERROR(__xludf.DUMMYFUNCTION("if(isblank(A2664),,split(A2664,""-""))"),"")</f>
        <v/>
      </c>
      <c r="K2664" s="13" t="str">
        <f>IFERROR(__xludf.DUMMYFUNCTION("if(isblank(B2664),,split(B2664,""-""))"),"")</f>
        <v/>
      </c>
    </row>
    <row r="2665">
      <c r="A2665" s="132"/>
      <c r="B2665" s="41"/>
      <c r="C2665" s="9"/>
      <c r="D2665" s="133"/>
      <c r="E2665" s="133"/>
      <c r="F2665" s="24"/>
      <c r="G2665" s="24"/>
      <c r="I2665" s="13" t="str">
        <f>IFERROR(__xludf.DUMMYFUNCTION("if(isblank(A2665),,split(A2665,""-""))"),"")</f>
        <v/>
      </c>
      <c r="K2665" s="13" t="str">
        <f>IFERROR(__xludf.DUMMYFUNCTION("if(isblank(B2665),,split(B2665,""-""))"),"")</f>
        <v/>
      </c>
    </row>
    <row r="2666">
      <c r="A2666" s="132"/>
      <c r="B2666" s="41"/>
      <c r="C2666" s="9"/>
      <c r="D2666" s="133"/>
      <c r="E2666" s="133"/>
      <c r="F2666" s="24"/>
      <c r="G2666" s="24"/>
      <c r="I2666" s="13" t="str">
        <f>IFERROR(__xludf.DUMMYFUNCTION("if(isblank(A2666),,split(A2666,""-""))"),"")</f>
        <v/>
      </c>
      <c r="K2666" s="13" t="str">
        <f>IFERROR(__xludf.DUMMYFUNCTION("if(isblank(B2666),,split(B2666,""-""))"),"")</f>
        <v/>
      </c>
    </row>
    <row r="2667">
      <c r="A2667" s="132"/>
      <c r="B2667" s="41"/>
      <c r="C2667" s="9"/>
      <c r="D2667" s="133"/>
      <c r="E2667" s="133"/>
      <c r="F2667" s="24"/>
      <c r="G2667" s="24"/>
      <c r="I2667" s="13" t="str">
        <f>IFERROR(__xludf.DUMMYFUNCTION("if(isblank(A2667),,split(A2667,""-""))"),"")</f>
        <v/>
      </c>
      <c r="K2667" s="13" t="str">
        <f>IFERROR(__xludf.DUMMYFUNCTION("if(isblank(B2667),,split(B2667,""-""))"),"")</f>
        <v/>
      </c>
    </row>
    <row r="2668">
      <c r="A2668" s="132"/>
      <c r="B2668" s="41"/>
      <c r="C2668" s="9"/>
      <c r="D2668" s="133"/>
      <c r="E2668" s="133"/>
      <c r="F2668" s="24"/>
      <c r="G2668" s="24"/>
      <c r="I2668" s="13" t="str">
        <f>IFERROR(__xludf.DUMMYFUNCTION("if(isblank(A2668),,split(A2668,""-""))"),"")</f>
        <v/>
      </c>
      <c r="K2668" s="13" t="str">
        <f>IFERROR(__xludf.DUMMYFUNCTION("if(isblank(B2668),,split(B2668,""-""))"),"")</f>
        <v/>
      </c>
    </row>
    <row r="2669">
      <c r="A2669" s="132"/>
      <c r="B2669" s="41"/>
      <c r="C2669" s="9"/>
      <c r="D2669" s="133"/>
      <c r="E2669" s="133"/>
      <c r="F2669" s="24"/>
      <c r="G2669" s="24"/>
      <c r="I2669" s="13" t="str">
        <f>IFERROR(__xludf.DUMMYFUNCTION("if(isblank(A2669),,split(A2669,""-""))"),"")</f>
        <v/>
      </c>
      <c r="K2669" s="13" t="str">
        <f>IFERROR(__xludf.DUMMYFUNCTION("if(isblank(B2669),,split(B2669,""-""))"),"")</f>
        <v/>
      </c>
    </row>
    <row r="2670">
      <c r="A2670" s="132"/>
      <c r="B2670" s="41"/>
      <c r="C2670" s="9"/>
      <c r="D2670" s="133"/>
      <c r="E2670" s="133"/>
      <c r="F2670" s="24"/>
      <c r="G2670" s="24"/>
      <c r="I2670" s="13" t="str">
        <f>IFERROR(__xludf.DUMMYFUNCTION("if(isblank(A2670),,split(A2670,""-""))"),"")</f>
        <v/>
      </c>
      <c r="K2670" s="13" t="str">
        <f>IFERROR(__xludf.DUMMYFUNCTION("if(isblank(B2670),,split(B2670,""-""))"),"")</f>
        <v/>
      </c>
    </row>
    <row r="2671">
      <c r="A2671" s="132"/>
      <c r="B2671" s="41"/>
      <c r="C2671" s="9"/>
      <c r="D2671" s="133"/>
      <c r="E2671" s="133"/>
      <c r="F2671" s="24"/>
      <c r="G2671" s="24"/>
      <c r="I2671" s="13" t="str">
        <f>IFERROR(__xludf.DUMMYFUNCTION("if(isblank(A2671),,split(A2671,""-""))"),"")</f>
        <v/>
      </c>
      <c r="K2671" s="13" t="str">
        <f>IFERROR(__xludf.DUMMYFUNCTION("if(isblank(B2671),,split(B2671,""-""))"),"")</f>
        <v/>
      </c>
    </row>
    <row r="2672">
      <c r="A2672" s="132"/>
      <c r="B2672" s="41"/>
      <c r="C2672" s="9"/>
      <c r="D2672" s="133"/>
      <c r="E2672" s="133"/>
      <c r="F2672" s="24"/>
      <c r="G2672" s="24"/>
      <c r="I2672" s="13" t="str">
        <f>IFERROR(__xludf.DUMMYFUNCTION("if(isblank(A2672),,split(A2672,""-""))"),"")</f>
        <v/>
      </c>
      <c r="K2672" s="13" t="str">
        <f>IFERROR(__xludf.DUMMYFUNCTION("if(isblank(B2672),,split(B2672,""-""))"),"")</f>
        <v/>
      </c>
    </row>
    <row r="2673">
      <c r="A2673" s="132"/>
      <c r="B2673" s="41"/>
      <c r="C2673" s="9"/>
      <c r="D2673" s="133"/>
      <c r="E2673" s="133"/>
      <c r="F2673" s="24"/>
      <c r="G2673" s="24"/>
      <c r="I2673" s="13" t="str">
        <f>IFERROR(__xludf.DUMMYFUNCTION("if(isblank(A2673),,split(A2673,""-""))"),"")</f>
        <v/>
      </c>
      <c r="K2673" s="13" t="str">
        <f>IFERROR(__xludf.DUMMYFUNCTION("if(isblank(B2673),,split(B2673,""-""))"),"")</f>
        <v/>
      </c>
    </row>
    <row r="2674">
      <c r="A2674" s="132"/>
      <c r="B2674" s="41"/>
      <c r="C2674" s="9"/>
      <c r="D2674" s="133"/>
      <c r="E2674" s="133"/>
      <c r="F2674" s="24"/>
      <c r="G2674" s="24"/>
      <c r="I2674" s="13" t="str">
        <f>IFERROR(__xludf.DUMMYFUNCTION("if(isblank(A2674),,split(A2674,""-""))"),"")</f>
        <v/>
      </c>
      <c r="K2674" s="13" t="str">
        <f>IFERROR(__xludf.DUMMYFUNCTION("if(isblank(B2674),,split(B2674,""-""))"),"")</f>
        <v/>
      </c>
    </row>
    <row r="2675">
      <c r="A2675" s="132"/>
      <c r="B2675" s="41"/>
      <c r="C2675" s="9"/>
      <c r="D2675" s="133"/>
      <c r="E2675" s="133"/>
      <c r="F2675" s="24"/>
      <c r="G2675" s="24"/>
      <c r="I2675" s="13" t="str">
        <f>IFERROR(__xludf.DUMMYFUNCTION("if(isblank(A2675),,split(A2675,""-""))"),"")</f>
        <v/>
      </c>
      <c r="K2675" s="13" t="str">
        <f>IFERROR(__xludf.DUMMYFUNCTION("if(isblank(B2675),,split(B2675,""-""))"),"")</f>
        <v/>
      </c>
    </row>
    <row r="2676">
      <c r="A2676" s="132"/>
      <c r="B2676" s="41"/>
      <c r="C2676" s="9"/>
      <c r="D2676" s="133"/>
      <c r="E2676" s="133"/>
      <c r="F2676" s="24"/>
      <c r="G2676" s="24"/>
      <c r="I2676" s="13" t="str">
        <f>IFERROR(__xludf.DUMMYFUNCTION("if(isblank(A2676),,split(A2676,""-""))"),"")</f>
        <v/>
      </c>
      <c r="K2676" s="13" t="str">
        <f>IFERROR(__xludf.DUMMYFUNCTION("if(isblank(B2676),,split(B2676,""-""))"),"")</f>
        <v/>
      </c>
    </row>
    <row r="2677">
      <c r="A2677" s="132"/>
      <c r="B2677" s="41"/>
      <c r="C2677" s="9"/>
      <c r="D2677" s="133"/>
      <c r="E2677" s="133"/>
      <c r="F2677" s="24"/>
      <c r="G2677" s="24"/>
      <c r="I2677" s="13" t="str">
        <f>IFERROR(__xludf.DUMMYFUNCTION("if(isblank(A2677),,split(A2677,""-""))"),"")</f>
        <v/>
      </c>
      <c r="K2677" s="13" t="str">
        <f>IFERROR(__xludf.DUMMYFUNCTION("if(isblank(B2677),,split(B2677,""-""))"),"")</f>
        <v/>
      </c>
    </row>
    <row r="2678">
      <c r="A2678" s="132"/>
      <c r="B2678" s="41"/>
      <c r="C2678" s="9"/>
      <c r="D2678" s="133"/>
      <c r="E2678" s="133"/>
      <c r="F2678" s="24"/>
      <c r="G2678" s="24"/>
      <c r="I2678" s="13" t="str">
        <f>IFERROR(__xludf.DUMMYFUNCTION("if(isblank(A2678),,split(A2678,""-""))"),"")</f>
        <v/>
      </c>
      <c r="K2678" s="13" t="str">
        <f>IFERROR(__xludf.DUMMYFUNCTION("if(isblank(B2678),,split(B2678,""-""))"),"")</f>
        <v/>
      </c>
    </row>
    <row r="2679">
      <c r="A2679" s="132"/>
      <c r="B2679" s="41"/>
      <c r="C2679" s="9"/>
      <c r="D2679" s="133"/>
      <c r="E2679" s="133"/>
      <c r="F2679" s="24"/>
      <c r="G2679" s="24"/>
      <c r="I2679" s="13" t="str">
        <f>IFERROR(__xludf.DUMMYFUNCTION("if(isblank(A2679),,split(A2679,""-""))"),"")</f>
        <v/>
      </c>
      <c r="K2679" s="13" t="str">
        <f>IFERROR(__xludf.DUMMYFUNCTION("if(isblank(B2679),,split(B2679,""-""))"),"")</f>
        <v/>
      </c>
    </row>
    <row r="2680">
      <c r="A2680" s="132"/>
      <c r="B2680" s="41"/>
      <c r="C2680" s="9"/>
      <c r="D2680" s="133"/>
      <c r="E2680" s="133"/>
      <c r="F2680" s="24"/>
      <c r="G2680" s="24"/>
      <c r="I2680" s="13" t="str">
        <f>IFERROR(__xludf.DUMMYFUNCTION("if(isblank(A2680),,split(A2680,""-""))"),"")</f>
        <v/>
      </c>
      <c r="K2680" s="13" t="str">
        <f>IFERROR(__xludf.DUMMYFUNCTION("if(isblank(B2680),,split(B2680,""-""))"),"")</f>
        <v/>
      </c>
    </row>
    <row r="2681">
      <c r="A2681" s="132"/>
      <c r="B2681" s="41"/>
      <c r="C2681" s="9"/>
      <c r="D2681" s="133"/>
      <c r="E2681" s="133"/>
      <c r="F2681" s="24"/>
      <c r="G2681" s="24"/>
      <c r="I2681" s="13" t="str">
        <f>IFERROR(__xludf.DUMMYFUNCTION("if(isblank(A2681),,split(A2681,""-""))"),"")</f>
        <v/>
      </c>
      <c r="K2681" s="13" t="str">
        <f>IFERROR(__xludf.DUMMYFUNCTION("if(isblank(B2681),,split(B2681,""-""))"),"")</f>
        <v/>
      </c>
    </row>
    <row r="2682">
      <c r="A2682" s="132"/>
      <c r="B2682" s="41"/>
      <c r="C2682" s="9"/>
      <c r="D2682" s="133"/>
      <c r="E2682" s="133"/>
      <c r="F2682" s="24"/>
      <c r="G2682" s="24"/>
      <c r="I2682" s="13" t="str">
        <f>IFERROR(__xludf.DUMMYFUNCTION("if(isblank(A2682),,split(A2682,""-""))"),"")</f>
        <v/>
      </c>
      <c r="K2682" s="13" t="str">
        <f>IFERROR(__xludf.DUMMYFUNCTION("if(isblank(B2682),,split(B2682,""-""))"),"")</f>
        <v/>
      </c>
    </row>
    <row r="2683">
      <c r="A2683" s="132"/>
      <c r="B2683" s="41"/>
      <c r="C2683" s="9"/>
      <c r="D2683" s="133"/>
      <c r="E2683" s="133"/>
      <c r="F2683" s="24"/>
      <c r="G2683" s="24"/>
      <c r="I2683" s="13" t="str">
        <f>IFERROR(__xludf.DUMMYFUNCTION("if(isblank(A2683),,split(A2683,""-""))"),"")</f>
        <v/>
      </c>
      <c r="K2683" s="13" t="str">
        <f>IFERROR(__xludf.DUMMYFUNCTION("if(isblank(B2683),,split(B2683,""-""))"),"")</f>
        <v/>
      </c>
    </row>
    <row r="2684">
      <c r="A2684" s="132"/>
      <c r="B2684" s="41"/>
      <c r="C2684" s="9"/>
      <c r="D2684" s="133"/>
      <c r="E2684" s="133"/>
      <c r="F2684" s="24"/>
      <c r="G2684" s="24"/>
      <c r="I2684" s="13" t="str">
        <f>IFERROR(__xludf.DUMMYFUNCTION("if(isblank(A2684),,split(A2684,""-""))"),"")</f>
        <v/>
      </c>
      <c r="K2684" s="13" t="str">
        <f>IFERROR(__xludf.DUMMYFUNCTION("if(isblank(B2684),,split(B2684,""-""))"),"")</f>
        <v/>
      </c>
    </row>
    <row r="2685">
      <c r="A2685" s="132"/>
      <c r="B2685" s="41"/>
      <c r="C2685" s="9"/>
      <c r="D2685" s="133"/>
      <c r="E2685" s="133"/>
      <c r="F2685" s="24"/>
      <c r="G2685" s="24"/>
      <c r="I2685" s="13" t="str">
        <f>IFERROR(__xludf.DUMMYFUNCTION("if(isblank(A2685),,split(A2685,""-""))"),"")</f>
        <v/>
      </c>
      <c r="K2685" s="13" t="str">
        <f>IFERROR(__xludf.DUMMYFUNCTION("if(isblank(B2685),,split(B2685,""-""))"),"")</f>
        <v/>
      </c>
    </row>
    <row r="2686">
      <c r="A2686" s="132"/>
      <c r="B2686" s="41"/>
      <c r="C2686" s="9"/>
      <c r="D2686" s="133"/>
      <c r="E2686" s="133"/>
      <c r="F2686" s="24"/>
      <c r="G2686" s="24"/>
      <c r="I2686" s="13" t="str">
        <f>IFERROR(__xludf.DUMMYFUNCTION("if(isblank(A2686),,split(A2686,""-""))"),"")</f>
        <v/>
      </c>
      <c r="K2686" s="13" t="str">
        <f>IFERROR(__xludf.DUMMYFUNCTION("if(isblank(B2686),,split(B2686,""-""))"),"")</f>
        <v/>
      </c>
    </row>
    <row r="2687">
      <c r="A2687" s="132"/>
      <c r="B2687" s="41"/>
      <c r="C2687" s="9"/>
      <c r="D2687" s="133"/>
      <c r="E2687" s="133"/>
      <c r="F2687" s="24"/>
      <c r="G2687" s="24"/>
      <c r="I2687" s="13" t="str">
        <f>IFERROR(__xludf.DUMMYFUNCTION("if(isblank(A2687),,split(A2687,""-""))"),"")</f>
        <v/>
      </c>
      <c r="K2687" s="13" t="str">
        <f>IFERROR(__xludf.DUMMYFUNCTION("if(isblank(B2687),,split(B2687,""-""))"),"")</f>
        <v/>
      </c>
    </row>
    <row r="2688">
      <c r="A2688" s="132"/>
      <c r="B2688" s="41"/>
      <c r="C2688" s="9"/>
      <c r="D2688" s="133"/>
      <c r="E2688" s="133"/>
      <c r="F2688" s="24"/>
      <c r="G2688" s="24"/>
      <c r="I2688" s="13" t="str">
        <f>IFERROR(__xludf.DUMMYFUNCTION("if(isblank(A2688),,split(A2688,""-""))"),"")</f>
        <v/>
      </c>
      <c r="K2688" s="13" t="str">
        <f>IFERROR(__xludf.DUMMYFUNCTION("if(isblank(B2688),,split(B2688,""-""))"),"")</f>
        <v/>
      </c>
    </row>
    <row r="2689">
      <c r="A2689" s="132"/>
      <c r="B2689" s="41"/>
      <c r="C2689" s="9"/>
      <c r="D2689" s="133"/>
      <c r="E2689" s="133"/>
      <c r="F2689" s="24"/>
      <c r="G2689" s="24"/>
      <c r="I2689" s="13" t="str">
        <f>IFERROR(__xludf.DUMMYFUNCTION("if(isblank(A2689),,split(A2689,""-""))"),"")</f>
        <v/>
      </c>
      <c r="K2689" s="13" t="str">
        <f>IFERROR(__xludf.DUMMYFUNCTION("if(isblank(B2689),,split(B2689,""-""))"),"")</f>
        <v/>
      </c>
    </row>
    <row r="2690">
      <c r="A2690" s="132"/>
      <c r="B2690" s="41"/>
      <c r="C2690" s="9"/>
      <c r="D2690" s="133"/>
      <c r="E2690" s="133"/>
      <c r="F2690" s="24"/>
      <c r="G2690" s="24"/>
      <c r="I2690" s="13" t="str">
        <f>IFERROR(__xludf.DUMMYFUNCTION("if(isblank(A2690),,split(A2690,""-""))"),"")</f>
        <v/>
      </c>
      <c r="K2690" s="13" t="str">
        <f>IFERROR(__xludf.DUMMYFUNCTION("if(isblank(B2690),,split(B2690,""-""))"),"")</f>
        <v/>
      </c>
    </row>
    <row r="2691">
      <c r="A2691" s="132"/>
      <c r="B2691" s="41"/>
      <c r="C2691" s="9"/>
      <c r="D2691" s="133"/>
      <c r="E2691" s="133"/>
      <c r="F2691" s="24"/>
      <c r="G2691" s="24"/>
      <c r="I2691" s="13" t="str">
        <f>IFERROR(__xludf.DUMMYFUNCTION("if(isblank(A2691),,split(A2691,""-""))"),"")</f>
        <v/>
      </c>
      <c r="K2691" s="13" t="str">
        <f>IFERROR(__xludf.DUMMYFUNCTION("if(isblank(B2691),,split(B2691,""-""))"),"")</f>
        <v/>
      </c>
    </row>
    <row r="2692">
      <c r="A2692" s="132"/>
      <c r="B2692" s="41"/>
      <c r="C2692" s="9"/>
      <c r="D2692" s="133"/>
      <c r="E2692" s="133"/>
      <c r="F2692" s="24"/>
      <c r="G2692" s="24"/>
      <c r="I2692" s="13" t="str">
        <f>IFERROR(__xludf.DUMMYFUNCTION("if(isblank(A2692),,split(A2692,""-""))"),"")</f>
        <v/>
      </c>
      <c r="K2692" s="13" t="str">
        <f>IFERROR(__xludf.DUMMYFUNCTION("if(isblank(B2692),,split(B2692,""-""))"),"")</f>
        <v/>
      </c>
    </row>
    <row r="2693">
      <c r="A2693" s="132"/>
      <c r="B2693" s="41"/>
      <c r="C2693" s="9"/>
      <c r="D2693" s="133"/>
      <c r="E2693" s="133"/>
      <c r="F2693" s="24"/>
      <c r="G2693" s="24"/>
      <c r="I2693" s="13" t="str">
        <f>IFERROR(__xludf.DUMMYFUNCTION("if(isblank(A2693),,split(A2693,""-""))"),"")</f>
        <v/>
      </c>
      <c r="K2693" s="13" t="str">
        <f>IFERROR(__xludf.DUMMYFUNCTION("if(isblank(B2693),,split(B2693,""-""))"),"")</f>
        <v/>
      </c>
    </row>
    <row r="2694">
      <c r="A2694" s="132"/>
      <c r="B2694" s="41"/>
      <c r="C2694" s="9"/>
      <c r="D2694" s="133"/>
      <c r="E2694" s="133"/>
      <c r="F2694" s="24"/>
      <c r="G2694" s="24"/>
      <c r="I2694" s="13" t="str">
        <f>IFERROR(__xludf.DUMMYFUNCTION("if(isblank(A2694),,split(A2694,""-""))"),"")</f>
        <v/>
      </c>
      <c r="K2694" s="13" t="str">
        <f>IFERROR(__xludf.DUMMYFUNCTION("if(isblank(B2694),,split(B2694,""-""))"),"")</f>
        <v/>
      </c>
    </row>
    <row r="2695">
      <c r="A2695" s="132"/>
      <c r="B2695" s="41"/>
      <c r="C2695" s="9"/>
      <c r="D2695" s="133"/>
      <c r="E2695" s="133"/>
      <c r="F2695" s="24"/>
      <c r="G2695" s="24"/>
      <c r="I2695" s="13" t="str">
        <f>IFERROR(__xludf.DUMMYFUNCTION("if(isblank(A2695),,split(A2695,""-""))"),"")</f>
        <v/>
      </c>
      <c r="K2695" s="13" t="str">
        <f>IFERROR(__xludf.DUMMYFUNCTION("if(isblank(B2695),,split(B2695,""-""))"),"")</f>
        <v/>
      </c>
    </row>
    <row r="2696">
      <c r="A2696" s="132"/>
      <c r="B2696" s="41"/>
      <c r="C2696" s="9"/>
      <c r="D2696" s="133"/>
      <c r="E2696" s="133"/>
      <c r="F2696" s="24"/>
      <c r="G2696" s="24"/>
      <c r="I2696" s="13" t="str">
        <f>IFERROR(__xludf.DUMMYFUNCTION("if(isblank(A2696),,split(A2696,""-""))"),"")</f>
        <v/>
      </c>
      <c r="K2696" s="13" t="str">
        <f>IFERROR(__xludf.DUMMYFUNCTION("if(isblank(B2696),,split(B2696,""-""))"),"")</f>
        <v/>
      </c>
    </row>
    <row r="2697">
      <c r="A2697" s="132"/>
      <c r="B2697" s="41"/>
      <c r="C2697" s="9"/>
      <c r="D2697" s="133"/>
      <c r="E2697" s="133"/>
      <c r="F2697" s="24"/>
      <c r="G2697" s="24"/>
      <c r="I2697" s="13" t="str">
        <f>IFERROR(__xludf.DUMMYFUNCTION("if(isblank(A2697),,split(A2697,""-""))"),"")</f>
        <v/>
      </c>
      <c r="K2697" s="13" t="str">
        <f>IFERROR(__xludf.DUMMYFUNCTION("if(isblank(B2697),,split(B2697,""-""))"),"")</f>
        <v/>
      </c>
    </row>
    <row r="2698">
      <c r="A2698" s="132"/>
      <c r="B2698" s="41"/>
      <c r="C2698" s="9"/>
      <c r="D2698" s="133"/>
      <c r="E2698" s="133"/>
      <c r="F2698" s="24"/>
      <c r="G2698" s="24"/>
      <c r="I2698" s="13" t="str">
        <f>IFERROR(__xludf.DUMMYFUNCTION("if(isblank(A2698),,split(A2698,""-""))"),"")</f>
        <v/>
      </c>
      <c r="K2698" s="13" t="str">
        <f>IFERROR(__xludf.DUMMYFUNCTION("if(isblank(B2698),,split(B2698,""-""))"),"")</f>
        <v/>
      </c>
    </row>
    <row r="2699">
      <c r="A2699" s="132"/>
      <c r="B2699" s="41"/>
      <c r="C2699" s="9"/>
      <c r="D2699" s="133"/>
      <c r="E2699" s="133"/>
      <c r="F2699" s="24"/>
      <c r="G2699" s="24"/>
      <c r="I2699" s="13" t="str">
        <f>IFERROR(__xludf.DUMMYFUNCTION("if(isblank(A2699),,split(A2699,""-""))"),"")</f>
        <v/>
      </c>
      <c r="K2699" s="13" t="str">
        <f>IFERROR(__xludf.DUMMYFUNCTION("if(isblank(B2699),,split(B2699,""-""))"),"")</f>
        <v/>
      </c>
    </row>
    <row r="2700">
      <c r="A2700" s="132"/>
      <c r="B2700" s="41"/>
      <c r="C2700" s="9"/>
      <c r="D2700" s="133"/>
      <c r="E2700" s="133"/>
      <c r="F2700" s="24"/>
      <c r="G2700" s="24"/>
      <c r="I2700" s="13" t="str">
        <f>IFERROR(__xludf.DUMMYFUNCTION("if(isblank(A2700),,split(A2700,""-""))"),"")</f>
        <v/>
      </c>
      <c r="K2700" s="13" t="str">
        <f>IFERROR(__xludf.DUMMYFUNCTION("if(isblank(B2700),,split(B2700,""-""))"),"")</f>
        <v/>
      </c>
    </row>
    <row r="2701">
      <c r="A2701" s="132"/>
      <c r="B2701" s="41"/>
      <c r="C2701" s="9"/>
      <c r="D2701" s="133"/>
      <c r="E2701" s="133"/>
      <c r="F2701" s="24"/>
      <c r="G2701" s="24"/>
      <c r="I2701" s="13" t="str">
        <f>IFERROR(__xludf.DUMMYFUNCTION("if(isblank(A2701),,split(A2701,""-""))"),"")</f>
        <v/>
      </c>
      <c r="K2701" s="13" t="str">
        <f>IFERROR(__xludf.DUMMYFUNCTION("if(isblank(B2701),,split(B2701,""-""))"),"")</f>
        <v/>
      </c>
    </row>
    <row r="2702">
      <c r="A2702" s="132"/>
      <c r="B2702" s="41"/>
      <c r="C2702" s="9"/>
      <c r="D2702" s="133"/>
      <c r="E2702" s="133"/>
      <c r="F2702" s="24"/>
      <c r="G2702" s="24"/>
      <c r="I2702" s="13" t="str">
        <f>IFERROR(__xludf.DUMMYFUNCTION("if(isblank(A2702),,split(A2702,""-""))"),"")</f>
        <v/>
      </c>
      <c r="K2702" s="13" t="str">
        <f>IFERROR(__xludf.DUMMYFUNCTION("if(isblank(B2702),,split(B2702,""-""))"),"")</f>
        <v/>
      </c>
    </row>
    <row r="2703">
      <c r="A2703" s="132"/>
      <c r="B2703" s="41"/>
      <c r="C2703" s="9"/>
      <c r="D2703" s="133"/>
      <c r="E2703" s="133"/>
      <c r="F2703" s="24"/>
      <c r="G2703" s="24"/>
      <c r="I2703" s="13" t="str">
        <f>IFERROR(__xludf.DUMMYFUNCTION("if(isblank(A2703),,split(A2703,""-""))"),"")</f>
        <v/>
      </c>
      <c r="K2703" s="13" t="str">
        <f>IFERROR(__xludf.DUMMYFUNCTION("if(isblank(B2703),,split(B2703,""-""))"),"")</f>
        <v/>
      </c>
    </row>
    <row r="2704">
      <c r="A2704" s="132"/>
      <c r="B2704" s="41"/>
      <c r="C2704" s="9"/>
      <c r="D2704" s="133"/>
      <c r="E2704" s="133"/>
      <c r="F2704" s="24"/>
      <c r="G2704" s="24"/>
      <c r="I2704" s="13" t="str">
        <f>IFERROR(__xludf.DUMMYFUNCTION("if(isblank(A2704),,split(A2704,""-""))"),"")</f>
        <v/>
      </c>
      <c r="K2704" s="13" t="str">
        <f>IFERROR(__xludf.DUMMYFUNCTION("if(isblank(B2704),,split(B2704,""-""))"),"")</f>
        <v/>
      </c>
    </row>
    <row r="2705">
      <c r="A2705" s="132"/>
      <c r="B2705" s="41"/>
      <c r="C2705" s="9"/>
      <c r="D2705" s="133"/>
      <c r="E2705" s="133"/>
      <c r="F2705" s="24"/>
      <c r="G2705" s="24"/>
      <c r="I2705" s="13" t="str">
        <f>IFERROR(__xludf.DUMMYFUNCTION("if(isblank(A2705),,split(A2705,""-""))"),"")</f>
        <v/>
      </c>
      <c r="K2705" s="13" t="str">
        <f>IFERROR(__xludf.DUMMYFUNCTION("if(isblank(B2705),,split(B2705,""-""))"),"")</f>
        <v/>
      </c>
    </row>
    <row r="2706">
      <c r="A2706" s="132"/>
      <c r="B2706" s="41"/>
      <c r="C2706" s="9"/>
      <c r="D2706" s="133"/>
      <c r="E2706" s="133"/>
      <c r="F2706" s="24"/>
      <c r="G2706" s="24"/>
      <c r="I2706" s="13" t="str">
        <f>IFERROR(__xludf.DUMMYFUNCTION("if(isblank(A2706),,split(A2706,""-""))"),"")</f>
        <v/>
      </c>
      <c r="K2706" s="13" t="str">
        <f>IFERROR(__xludf.DUMMYFUNCTION("if(isblank(B2706),,split(B2706,""-""))"),"")</f>
        <v/>
      </c>
    </row>
    <row r="2707">
      <c r="A2707" s="132"/>
      <c r="B2707" s="41"/>
      <c r="C2707" s="9"/>
      <c r="D2707" s="133"/>
      <c r="E2707" s="133"/>
      <c r="F2707" s="24"/>
      <c r="G2707" s="24"/>
      <c r="I2707" s="13" t="str">
        <f>IFERROR(__xludf.DUMMYFUNCTION("if(isblank(A2707),,split(A2707,""-""))"),"")</f>
        <v/>
      </c>
      <c r="K2707" s="13" t="str">
        <f>IFERROR(__xludf.DUMMYFUNCTION("if(isblank(B2707),,split(B2707,""-""))"),"")</f>
        <v/>
      </c>
    </row>
    <row r="2708">
      <c r="A2708" s="132"/>
      <c r="B2708" s="41"/>
      <c r="C2708" s="9"/>
      <c r="D2708" s="133"/>
      <c r="E2708" s="133"/>
      <c r="F2708" s="24"/>
      <c r="G2708" s="24"/>
      <c r="I2708" s="13" t="str">
        <f>IFERROR(__xludf.DUMMYFUNCTION("if(isblank(A2708),,split(A2708,""-""))"),"")</f>
        <v/>
      </c>
      <c r="K2708" s="13" t="str">
        <f>IFERROR(__xludf.DUMMYFUNCTION("if(isblank(B2708),,split(B2708,""-""))"),"")</f>
        <v/>
      </c>
    </row>
    <row r="2709">
      <c r="A2709" s="132"/>
      <c r="B2709" s="41"/>
      <c r="C2709" s="9"/>
      <c r="D2709" s="133"/>
      <c r="E2709" s="133"/>
      <c r="F2709" s="24"/>
      <c r="G2709" s="24"/>
      <c r="I2709" s="13" t="str">
        <f>IFERROR(__xludf.DUMMYFUNCTION("if(isblank(A2709),,split(A2709,""-""))"),"")</f>
        <v/>
      </c>
      <c r="K2709" s="13" t="str">
        <f>IFERROR(__xludf.DUMMYFUNCTION("if(isblank(B2709),,split(B2709,""-""))"),"")</f>
        <v/>
      </c>
    </row>
    <row r="2710">
      <c r="A2710" s="132"/>
      <c r="B2710" s="41"/>
      <c r="C2710" s="9"/>
      <c r="D2710" s="133"/>
      <c r="E2710" s="133"/>
      <c r="F2710" s="24"/>
      <c r="G2710" s="24"/>
      <c r="I2710" s="13" t="str">
        <f>IFERROR(__xludf.DUMMYFUNCTION("if(isblank(A2710),,split(A2710,""-""))"),"")</f>
        <v/>
      </c>
      <c r="K2710" s="13" t="str">
        <f>IFERROR(__xludf.DUMMYFUNCTION("if(isblank(B2710),,split(B2710,""-""))"),"")</f>
        <v/>
      </c>
    </row>
    <row r="2711">
      <c r="A2711" s="132"/>
      <c r="B2711" s="41"/>
      <c r="C2711" s="9"/>
      <c r="D2711" s="133"/>
      <c r="E2711" s="133"/>
      <c r="F2711" s="24"/>
      <c r="G2711" s="24"/>
      <c r="I2711" s="13" t="str">
        <f>IFERROR(__xludf.DUMMYFUNCTION("if(isblank(A2711),,split(A2711,""-""))"),"")</f>
        <v/>
      </c>
      <c r="K2711" s="13" t="str">
        <f>IFERROR(__xludf.DUMMYFUNCTION("if(isblank(B2711),,split(B2711,""-""))"),"")</f>
        <v/>
      </c>
    </row>
    <row r="2712">
      <c r="A2712" s="132"/>
      <c r="B2712" s="41"/>
      <c r="C2712" s="9"/>
      <c r="D2712" s="133"/>
      <c r="E2712" s="133"/>
      <c r="F2712" s="24"/>
      <c r="G2712" s="24"/>
      <c r="I2712" s="13" t="str">
        <f>IFERROR(__xludf.DUMMYFUNCTION("if(isblank(A2712),,split(A2712,""-""))"),"")</f>
        <v/>
      </c>
      <c r="K2712" s="13" t="str">
        <f>IFERROR(__xludf.DUMMYFUNCTION("if(isblank(B2712),,split(B2712,""-""))"),"")</f>
        <v/>
      </c>
    </row>
    <row r="2713">
      <c r="A2713" s="132"/>
      <c r="B2713" s="41"/>
      <c r="C2713" s="9"/>
      <c r="D2713" s="133"/>
      <c r="E2713" s="133"/>
      <c r="F2713" s="24"/>
      <c r="G2713" s="24"/>
      <c r="I2713" s="13" t="str">
        <f>IFERROR(__xludf.DUMMYFUNCTION("if(isblank(A2713),,split(A2713,""-""))"),"")</f>
        <v/>
      </c>
      <c r="K2713" s="13" t="str">
        <f>IFERROR(__xludf.DUMMYFUNCTION("if(isblank(B2713),,split(B2713,""-""))"),"")</f>
        <v/>
      </c>
    </row>
    <row r="2714">
      <c r="A2714" s="132"/>
      <c r="B2714" s="41"/>
      <c r="C2714" s="9"/>
      <c r="D2714" s="133"/>
      <c r="E2714" s="133"/>
      <c r="F2714" s="24"/>
      <c r="G2714" s="24"/>
      <c r="I2714" s="13" t="str">
        <f>IFERROR(__xludf.DUMMYFUNCTION("if(isblank(A2714),,split(A2714,""-""))"),"")</f>
        <v/>
      </c>
      <c r="K2714" s="13" t="str">
        <f>IFERROR(__xludf.DUMMYFUNCTION("if(isblank(B2714),,split(B2714,""-""))"),"")</f>
        <v/>
      </c>
    </row>
    <row r="2715">
      <c r="A2715" s="132"/>
      <c r="B2715" s="41"/>
      <c r="C2715" s="9"/>
      <c r="D2715" s="133"/>
      <c r="E2715" s="133"/>
      <c r="F2715" s="24"/>
      <c r="G2715" s="24"/>
      <c r="I2715" s="13" t="str">
        <f>IFERROR(__xludf.DUMMYFUNCTION("if(isblank(A2715),,split(A2715,""-""))"),"")</f>
        <v/>
      </c>
      <c r="K2715" s="13" t="str">
        <f>IFERROR(__xludf.DUMMYFUNCTION("if(isblank(B2715),,split(B2715,""-""))"),"")</f>
        <v/>
      </c>
    </row>
    <row r="2716">
      <c r="A2716" s="132"/>
      <c r="B2716" s="41"/>
      <c r="C2716" s="9"/>
      <c r="D2716" s="133"/>
      <c r="E2716" s="133"/>
      <c r="F2716" s="24"/>
      <c r="G2716" s="24"/>
      <c r="I2716" s="13" t="str">
        <f>IFERROR(__xludf.DUMMYFUNCTION("if(isblank(A2716),,split(A2716,""-""))"),"")</f>
        <v/>
      </c>
      <c r="K2716" s="13" t="str">
        <f>IFERROR(__xludf.DUMMYFUNCTION("if(isblank(B2716),,split(B2716,""-""))"),"")</f>
        <v/>
      </c>
    </row>
    <row r="2717">
      <c r="A2717" s="132"/>
      <c r="B2717" s="41"/>
      <c r="C2717" s="9"/>
      <c r="D2717" s="133"/>
      <c r="E2717" s="133"/>
      <c r="F2717" s="24"/>
      <c r="G2717" s="24"/>
      <c r="I2717" s="13" t="str">
        <f>IFERROR(__xludf.DUMMYFUNCTION("if(isblank(A2717),,split(A2717,""-""))"),"")</f>
        <v/>
      </c>
      <c r="K2717" s="13" t="str">
        <f>IFERROR(__xludf.DUMMYFUNCTION("if(isblank(B2717),,split(B2717,""-""))"),"")</f>
        <v/>
      </c>
    </row>
    <row r="2718">
      <c r="A2718" s="132"/>
      <c r="B2718" s="41"/>
      <c r="C2718" s="9"/>
      <c r="D2718" s="133"/>
      <c r="E2718" s="133"/>
      <c r="F2718" s="24"/>
      <c r="G2718" s="24"/>
      <c r="I2718" s="13" t="str">
        <f>IFERROR(__xludf.DUMMYFUNCTION("if(isblank(A2718),,split(A2718,""-""))"),"")</f>
        <v/>
      </c>
      <c r="K2718" s="13" t="str">
        <f>IFERROR(__xludf.DUMMYFUNCTION("if(isblank(B2718),,split(B2718,""-""))"),"")</f>
        <v/>
      </c>
    </row>
    <row r="2719">
      <c r="A2719" s="132"/>
      <c r="B2719" s="41"/>
      <c r="C2719" s="9"/>
      <c r="D2719" s="133"/>
      <c r="E2719" s="133"/>
      <c r="F2719" s="24"/>
      <c r="G2719" s="24"/>
      <c r="I2719" s="13" t="str">
        <f>IFERROR(__xludf.DUMMYFUNCTION("if(isblank(A2719),,split(A2719,""-""))"),"")</f>
        <v/>
      </c>
      <c r="K2719" s="13" t="str">
        <f>IFERROR(__xludf.DUMMYFUNCTION("if(isblank(B2719),,split(B2719,""-""))"),"")</f>
        <v/>
      </c>
    </row>
    <row r="2720">
      <c r="A2720" s="132"/>
      <c r="B2720" s="41"/>
      <c r="C2720" s="9"/>
      <c r="D2720" s="133"/>
      <c r="E2720" s="133"/>
      <c r="F2720" s="24"/>
      <c r="G2720" s="24"/>
      <c r="I2720" s="13" t="str">
        <f>IFERROR(__xludf.DUMMYFUNCTION("if(isblank(A2720),,split(A2720,""-""))"),"")</f>
        <v/>
      </c>
      <c r="K2720" s="13" t="str">
        <f>IFERROR(__xludf.DUMMYFUNCTION("if(isblank(B2720),,split(B2720,""-""))"),"")</f>
        <v/>
      </c>
    </row>
    <row r="2721">
      <c r="A2721" s="132"/>
      <c r="B2721" s="41"/>
      <c r="C2721" s="9"/>
      <c r="D2721" s="133"/>
      <c r="E2721" s="133"/>
      <c r="F2721" s="24"/>
      <c r="G2721" s="24"/>
      <c r="I2721" s="13" t="str">
        <f>IFERROR(__xludf.DUMMYFUNCTION("if(isblank(A2721),,split(A2721,""-""))"),"")</f>
        <v/>
      </c>
      <c r="K2721" s="13" t="str">
        <f>IFERROR(__xludf.DUMMYFUNCTION("if(isblank(B2721),,split(B2721,""-""))"),"")</f>
        <v/>
      </c>
    </row>
    <row r="2722">
      <c r="A2722" s="132"/>
      <c r="B2722" s="41"/>
      <c r="C2722" s="9"/>
      <c r="D2722" s="133"/>
      <c r="E2722" s="133"/>
      <c r="F2722" s="24"/>
      <c r="G2722" s="24"/>
      <c r="I2722" s="13" t="str">
        <f>IFERROR(__xludf.DUMMYFUNCTION("if(isblank(A2722),,split(A2722,""-""))"),"")</f>
        <v/>
      </c>
      <c r="K2722" s="13" t="str">
        <f>IFERROR(__xludf.DUMMYFUNCTION("if(isblank(B2722),,split(B2722,""-""))"),"")</f>
        <v/>
      </c>
    </row>
    <row r="2723">
      <c r="A2723" s="132"/>
      <c r="B2723" s="41"/>
      <c r="C2723" s="9"/>
      <c r="D2723" s="133"/>
      <c r="E2723" s="133"/>
      <c r="F2723" s="24"/>
      <c r="G2723" s="24"/>
      <c r="I2723" s="13" t="str">
        <f>IFERROR(__xludf.DUMMYFUNCTION("if(isblank(A2723),,split(A2723,""-""))"),"")</f>
        <v/>
      </c>
      <c r="K2723" s="13" t="str">
        <f>IFERROR(__xludf.DUMMYFUNCTION("if(isblank(B2723),,split(B2723,""-""))"),"")</f>
        <v/>
      </c>
    </row>
    <row r="2724">
      <c r="A2724" s="132"/>
      <c r="B2724" s="41"/>
      <c r="C2724" s="9"/>
      <c r="D2724" s="133"/>
      <c r="E2724" s="133"/>
      <c r="F2724" s="24"/>
      <c r="G2724" s="24"/>
      <c r="I2724" s="13" t="str">
        <f>IFERROR(__xludf.DUMMYFUNCTION("if(isblank(A2724),,split(A2724,""-""))"),"")</f>
        <v/>
      </c>
      <c r="K2724" s="13" t="str">
        <f>IFERROR(__xludf.DUMMYFUNCTION("if(isblank(B2724),,split(B2724,""-""))"),"")</f>
        <v/>
      </c>
    </row>
    <row r="2725">
      <c r="A2725" s="132"/>
      <c r="B2725" s="41"/>
      <c r="C2725" s="9"/>
      <c r="D2725" s="133"/>
      <c r="E2725" s="133"/>
      <c r="F2725" s="24"/>
      <c r="G2725" s="24"/>
      <c r="I2725" s="13" t="str">
        <f>IFERROR(__xludf.DUMMYFUNCTION("if(isblank(A2725),,split(A2725,""-""))"),"")</f>
        <v/>
      </c>
      <c r="K2725" s="13" t="str">
        <f>IFERROR(__xludf.DUMMYFUNCTION("if(isblank(B2725),,split(B2725,""-""))"),"")</f>
        <v/>
      </c>
    </row>
    <row r="2726">
      <c r="A2726" s="132"/>
      <c r="B2726" s="41"/>
      <c r="C2726" s="9"/>
      <c r="D2726" s="133"/>
      <c r="E2726" s="133"/>
      <c r="F2726" s="24"/>
      <c r="G2726" s="24"/>
      <c r="I2726" s="13" t="str">
        <f>IFERROR(__xludf.DUMMYFUNCTION("if(isblank(A2726),,split(A2726,""-""))"),"")</f>
        <v/>
      </c>
      <c r="K2726" s="13" t="str">
        <f>IFERROR(__xludf.DUMMYFUNCTION("if(isblank(B2726),,split(B2726,""-""))"),"")</f>
        <v/>
      </c>
    </row>
    <row r="2727">
      <c r="A2727" s="132"/>
      <c r="B2727" s="41"/>
      <c r="C2727" s="9"/>
      <c r="D2727" s="133"/>
      <c r="E2727" s="133"/>
      <c r="F2727" s="24"/>
      <c r="G2727" s="24"/>
      <c r="I2727" s="13" t="str">
        <f>IFERROR(__xludf.DUMMYFUNCTION("if(isblank(A2727),,split(A2727,""-""))"),"")</f>
        <v/>
      </c>
      <c r="K2727" s="13" t="str">
        <f>IFERROR(__xludf.DUMMYFUNCTION("if(isblank(B2727),,split(B2727,""-""))"),"")</f>
        <v/>
      </c>
    </row>
    <row r="2728">
      <c r="A2728" s="132"/>
      <c r="B2728" s="41"/>
      <c r="C2728" s="9"/>
      <c r="D2728" s="133"/>
      <c r="E2728" s="133"/>
      <c r="F2728" s="24"/>
      <c r="G2728" s="24"/>
      <c r="I2728" s="13" t="str">
        <f>IFERROR(__xludf.DUMMYFUNCTION("if(isblank(A2728),,split(A2728,""-""))"),"")</f>
        <v/>
      </c>
      <c r="K2728" s="13" t="str">
        <f>IFERROR(__xludf.DUMMYFUNCTION("if(isblank(B2728),,split(B2728,""-""))"),"")</f>
        <v/>
      </c>
    </row>
    <row r="2729">
      <c r="A2729" s="132"/>
      <c r="B2729" s="41"/>
      <c r="C2729" s="9"/>
      <c r="D2729" s="133"/>
      <c r="E2729" s="133"/>
      <c r="F2729" s="24"/>
      <c r="G2729" s="24"/>
      <c r="I2729" s="13" t="str">
        <f>IFERROR(__xludf.DUMMYFUNCTION("if(isblank(A2729),,split(A2729,""-""))"),"")</f>
        <v/>
      </c>
      <c r="K2729" s="13" t="str">
        <f>IFERROR(__xludf.DUMMYFUNCTION("if(isblank(B2729),,split(B2729,""-""))"),"")</f>
        <v/>
      </c>
    </row>
    <row r="2730">
      <c r="A2730" s="132"/>
      <c r="B2730" s="41"/>
      <c r="C2730" s="9"/>
      <c r="D2730" s="133"/>
      <c r="E2730" s="133"/>
      <c r="F2730" s="24"/>
      <c r="G2730" s="24"/>
      <c r="I2730" s="13" t="str">
        <f>IFERROR(__xludf.DUMMYFUNCTION("if(isblank(A2730),,split(A2730,""-""))"),"")</f>
        <v/>
      </c>
      <c r="K2730" s="13" t="str">
        <f>IFERROR(__xludf.DUMMYFUNCTION("if(isblank(B2730),,split(B2730,""-""))"),"")</f>
        <v/>
      </c>
    </row>
    <row r="2731">
      <c r="A2731" s="132"/>
      <c r="B2731" s="41"/>
      <c r="C2731" s="9"/>
      <c r="D2731" s="133"/>
      <c r="E2731" s="133"/>
      <c r="F2731" s="24"/>
      <c r="G2731" s="24"/>
      <c r="I2731" s="13" t="str">
        <f>IFERROR(__xludf.DUMMYFUNCTION("if(isblank(A2731),,split(A2731,""-""))"),"")</f>
        <v/>
      </c>
      <c r="K2731" s="13" t="str">
        <f>IFERROR(__xludf.DUMMYFUNCTION("if(isblank(B2731),,split(B2731,""-""))"),"")</f>
        <v/>
      </c>
    </row>
    <row r="2732">
      <c r="A2732" s="132"/>
      <c r="B2732" s="41"/>
      <c r="C2732" s="9"/>
      <c r="D2732" s="133"/>
      <c r="E2732" s="133"/>
      <c r="F2732" s="24"/>
      <c r="G2732" s="24"/>
      <c r="I2732" s="13" t="str">
        <f>IFERROR(__xludf.DUMMYFUNCTION("if(isblank(A2732),,split(A2732,""-""))"),"")</f>
        <v/>
      </c>
      <c r="K2732" s="13" t="str">
        <f>IFERROR(__xludf.DUMMYFUNCTION("if(isblank(B2732),,split(B2732,""-""))"),"")</f>
        <v/>
      </c>
    </row>
    <row r="2733">
      <c r="A2733" s="132"/>
      <c r="B2733" s="41"/>
      <c r="C2733" s="9"/>
      <c r="D2733" s="133"/>
      <c r="E2733" s="133"/>
      <c r="F2733" s="24"/>
      <c r="G2733" s="24"/>
      <c r="I2733" s="13" t="str">
        <f>IFERROR(__xludf.DUMMYFUNCTION("if(isblank(A2733),,split(A2733,""-""))"),"")</f>
        <v/>
      </c>
      <c r="K2733" s="13" t="str">
        <f>IFERROR(__xludf.DUMMYFUNCTION("if(isblank(B2733),,split(B2733,""-""))"),"")</f>
        <v/>
      </c>
    </row>
    <row r="2734">
      <c r="A2734" s="132"/>
      <c r="B2734" s="41"/>
      <c r="C2734" s="9"/>
      <c r="D2734" s="133"/>
      <c r="E2734" s="133"/>
      <c r="F2734" s="24"/>
      <c r="G2734" s="24"/>
      <c r="I2734" s="13" t="str">
        <f>IFERROR(__xludf.DUMMYFUNCTION("if(isblank(A2734),,split(A2734,""-""))"),"")</f>
        <v/>
      </c>
      <c r="K2734" s="13" t="str">
        <f>IFERROR(__xludf.DUMMYFUNCTION("if(isblank(B2734),,split(B2734,""-""))"),"")</f>
        <v/>
      </c>
    </row>
    <row r="2735">
      <c r="A2735" s="132"/>
      <c r="B2735" s="41"/>
      <c r="C2735" s="9"/>
      <c r="D2735" s="133"/>
      <c r="E2735" s="133"/>
      <c r="F2735" s="24"/>
      <c r="G2735" s="24"/>
      <c r="I2735" s="13" t="str">
        <f>IFERROR(__xludf.DUMMYFUNCTION("if(isblank(A2735),,split(A2735,""-""))"),"")</f>
        <v/>
      </c>
      <c r="K2735" s="13" t="str">
        <f>IFERROR(__xludf.DUMMYFUNCTION("if(isblank(B2735),,split(B2735,""-""))"),"")</f>
        <v/>
      </c>
    </row>
    <row r="2736">
      <c r="A2736" s="132"/>
      <c r="B2736" s="41"/>
      <c r="C2736" s="9"/>
      <c r="D2736" s="133"/>
      <c r="E2736" s="133"/>
      <c r="F2736" s="24"/>
      <c r="G2736" s="24"/>
      <c r="I2736" s="13" t="str">
        <f>IFERROR(__xludf.DUMMYFUNCTION("if(isblank(A2736),,split(A2736,""-""))"),"")</f>
        <v/>
      </c>
      <c r="K2736" s="13" t="str">
        <f>IFERROR(__xludf.DUMMYFUNCTION("if(isblank(B2736),,split(B2736,""-""))"),"")</f>
        <v/>
      </c>
    </row>
    <row r="2737">
      <c r="A2737" s="132"/>
      <c r="B2737" s="41"/>
      <c r="C2737" s="9"/>
      <c r="D2737" s="133"/>
      <c r="E2737" s="133"/>
      <c r="F2737" s="24"/>
      <c r="G2737" s="24"/>
      <c r="I2737" s="13" t="str">
        <f>IFERROR(__xludf.DUMMYFUNCTION("if(isblank(A2737),,split(A2737,""-""))"),"")</f>
        <v/>
      </c>
      <c r="K2737" s="13" t="str">
        <f>IFERROR(__xludf.DUMMYFUNCTION("if(isblank(B2737),,split(B2737,""-""))"),"")</f>
        <v/>
      </c>
    </row>
    <row r="2738">
      <c r="A2738" s="132"/>
      <c r="B2738" s="41"/>
      <c r="C2738" s="9"/>
      <c r="D2738" s="133"/>
      <c r="E2738" s="133"/>
      <c r="F2738" s="24"/>
      <c r="G2738" s="24"/>
      <c r="I2738" s="13" t="str">
        <f>IFERROR(__xludf.DUMMYFUNCTION("if(isblank(A2738),,split(A2738,""-""))"),"")</f>
        <v/>
      </c>
      <c r="K2738" s="13" t="str">
        <f>IFERROR(__xludf.DUMMYFUNCTION("if(isblank(B2738),,split(B2738,""-""))"),"")</f>
        <v/>
      </c>
    </row>
    <row r="2739">
      <c r="A2739" s="132"/>
      <c r="B2739" s="41"/>
      <c r="C2739" s="9"/>
      <c r="D2739" s="133"/>
      <c r="E2739" s="133"/>
      <c r="F2739" s="24"/>
      <c r="G2739" s="24"/>
      <c r="I2739" s="13" t="str">
        <f>IFERROR(__xludf.DUMMYFUNCTION("if(isblank(A2739),,split(A2739,""-""))"),"")</f>
        <v/>
      </c>
      <c r="K2739" s="13" t="str">
        <f>IFERROR(__xludf.DUMMYFUNCTION("if(isblank(B2739),,split(B2739,""-""))"),"")</f>
        <v/>
      </c>
    </row>
    <row r="2740">
      <c r="A2740" s="132"/>
      <c r="B2740" s="41"/>
      <c r="C2740" s="9"/>
      <c r="D2740" s="133"/>
      <c r="E2740" s="133"/>
      <c r="F2740" s="24"/>
      <c r="G2740" s="24"/>
      <c r="I2740" s="13" t="str">
        <f>IFERROR(__xludf.DUMMYFUNCTION("if(isblank(A2740),,split(A2740,""-""))"),"")</f>
        <v/>
      </c>
      <c r="K2740" s="13" t="str">
        <f>IFERROR(__xludf.DUMMYFUNCTION("if(isblank(B2740),,split(B2740,""-""))"),"")</f>
        <v/>
      </c>
    </row>
    <row r="2741">
      <c r="A2741" s="132"/>
      <c r="B2741" s="41"/>
      <c r="C2741" s="9"/>
      <c r="D2741" s="133"/>
      <c r="E2741" s="133"/>
      <c r="F2741" s="24"/>
      <c r="G2741" s="24"/>
      <c r="I2741" s="13" t="str">
        <f>IFERROR(__xludf.DUMMYFUNCTION("if(isblank(A2741),,split(A2741,""-""))"),"")</f>
        <v/>
      </c>
      <c r="K2741" s="13" t="str">
        <f>IFERROR(__xludf.DUMMYFUNCTION("if(isblank(B2741),,split(B2741,""-""))"),"")</f>
        <v/>
      </c>
    </row>
    <row r="2742">
      <c r="A2742" s="132"/>
      <c r="B2742" s="41"/>
      <c r="C2742" s="9"/>
      <c r="D2742" s="133"/>
      <c r="E2742" s="133"/>
      <c r="F2742" s="24"/>
      <c r="G2742" s="24"/>
      <c r="I2742" s="13" t="str">
        <f>IFERROR(__xludf.DUMMYFUNCTION("if(isblank(A2742),,split(A2742,""-""))"),"")</f>
        <v/>
      </c>
      <c r="K2742" s="13" t="str">
        <f>IFERROR(__xludf.DUMMYFUNCTION("if(isblank(B2742),,split(B2742,""-""))"),"")</f>
        <v/>
      </c>
    </row>
    <row r="2743">
      <c r="A2743" s="132"/>
      <c r="B2743" s="41"/>
      <c r="C2743" s="9"/>
      <c r="D2743" s="133"/>
      <c r="E2743" s="133"/>
      <c r="F2743" s="24"/>
      <c r="G2743" s="24"/>
      <c r="I2743" s="13" t="str">
        <f>IFERROR(__xludf.DUMMYFUNCTION("if(isblank(A2743),,split(A2743,""-""))"),"")</f>
        <v/>
      </c>
      <c r="K2743" s="13" t="str">
        <f>IFERROR(__xludf.DUMMYFUNCTION("if(isblank(B2743),,split(B2743,""-""))"),"")</f>
        <v/>
      </c>
    </row>
    <row r="2744">
      <c r="A2744" s="132"/>
      <c r="B2744" s="41"/>
      <c r="C2744" s="9"/>
      <c r="D2744" s="133"/>
      <c r="E2744" s="133"/>
      <c r="F2744" s="24"/>
      <c r="G2744" s="24"/>
      <c r="I2744" s="13" t="str">
        <f>IFERROR(__xludf.DUMMYFUNCTION("if(isblank(A2744),,split(A2744,""-""))"),"")</f>
        <v/>
      </c>
      <c r="K2744" s="13" t="str">
        <f>IFERROR(__xludf.DUMMYFUNCTION("if(isblank(B2744),,split(B2744,""-""))"),"")</f>
        <v/>
      </c>
    </row>
    <row r="2745">
      <c r="A2745" s="132"/>
      <c r="B2745" s="41"/>
      <c r="C2745" s="9"/>
      <c r="D2745" s="133"/>
      <c r="E2745" s="133"/>
      <c r="F2745" s="24"/>
      <c r="G2745" s="24"/>
      <c r="I2745" s="13" t="str">
        <f>IFERROR(__xludf.DUMMYFUNCTION("if(isblank(A2745),,split(A2745,""-""))"),"")</f>
        <v/>
      </c>
      <c r="K2745" s="13" t="str">
        <f>IFERROR(__xludf.DUMMYFUNCTION("if(isblank(B2745),,split(B2745,""-""))"),"")</f>
        <v/>
      </c>
    </row>
    <row r="2746">
      <c r="A2746" s="132"/>
      <c r="B2746" s="41"/>
      <c r="C2746" s="9"/>
      <c r="D2746" s="133"/>
      <c r="E2746" s="133"/>
      <c r="F2746" s="24"/>
      <c r="G2746" s="24"/>
      <c r="I2746" s="13" t="str">
        <f>IFERROR(__xludf.DUMMYFUNCTION("if(isblank(A2746),,split(A2746,""-""))"),"")</f>
        <v/>
      </c>
      <c r="K2746" s="13" t="str">
        <f>IFERROR(__xludf.DUMMYFUNCTION("if(isblank(B2746),,split(B2746,""-""))"),"")</f>
        <v/>
      </c>
    </row>
    <row r="2747">
      <c r="A2747" s="132"/>
      <c r="B2747" s="41"/>
      <c r="C2747" s="9"/>
      <c r="D2747" s="133"/>
      <c r="E2747" s="133"/>
      <c r="F2747" s="24"/>
      <c r="G2747" s="24"/>
      <c r="I2747" s="13" t="str">
        <f>IFERROR(__xludf.DUMMYFUNCTION("if(isblank(A2747),,split(A2747,""-""))"),"")</f>
        <v/>
      </c>
      <c r="K2747" s="13" t="str">
        <f>IFERROR(__xludf.DUMMYFUNCTION("if(isblank(B2747),,split(B2747,""-""))"),"")</f>
        <v/>
      </c>
    </row>
    <row r="2748">
      <c r="A2748" s="132"/>
      <c r="B2748" s="41"/>
      <c r="C2748" s="9"/>
      <c r="D2748" s="133"/>
      <c r="E2748" s="133"/>
      <c r="F2748" s="24"/>
      <c r="G2748" s="24"/>
      <c r="I2748" s="13" t="str">
        <f>IFERROR(__xludf.DUMMYFUNCTION("if(isblank(A2748),,split(A2748,""-""))"),"")</f>
        <v/>
      </c>
      <c r="K2748" s="13" t="str">
        <f>IFERROR(__xludf.DUMMYFUNCTION("if(isblank(B2748),,split(B2748,""-""))"),"")</f>
        <v/>
      </c>
    </row>
    <row r="2749">
      <c r="A2749" s="132"/>
      <c r="B2749" s="41"/>
      <c r="C2749" s="9"/>
      <c r="D2749" s="133"/>
      <c r="E2749" s="133"/>
      <c r="F2749" s="24"/>
      <c r="G2749" s="24"/>
      <c r="I2749" s="13" t="str">
        <f>IFERROR(__xludf.DUMMYFUNCTION("if(isblank(A2749),,split(A2749,""-""))"),"")</f>
        <v/>
      </c>
      <c r="K2749" s="13" t="str">
        <f>IFERROR(__xludf.DUMMYFUNCTION("if(isblank(B2749),,split(B2749,""-""))"),"")</f>
        <v/>
      </c>
    </row>
    <row r="2750">
      <c r="A2750" s="132"/>
      <c r="B2750" s="41"/>
      <c r="C2750" s="9"/>
      <c r="D2750" s="133"/>
      <c r="E2750" s="133"/>
      <c r="F2750" s="24"/>
      <c r="G2750" s="24"/>
      <c r="I2750" s="13" t="str">
        <f>IFERROR(__xludf.DUMMYFUNCTION("if(isblank(A2750),,split(A2750,""-""))"),"")</f>
        <v/>
      </c>
      <c r="K2750" s="13" t="str">
        <f>IFERROR(__xludf.DUMMYFUNCTION("if(isblank(B2750),,split(B2750,""-""))"),"")</f>
        <v/>
      </c>
    </row>
    <row r="2751">
      <c r="A2751" s="132"/>
      <c r="B2751" s="41"/>
      <c r="C2751" s="9"/>
      <c r="D2751" s="133"/>
      <c r="E2751" s="133"/>
      <c r="F2751" s="24"/>
      <c r="G2751" s="24"/>
      <c r="I2751" s="13" t="str">
        <f>IFERROR(__xludf.DUMMYFUNCTION("if(isblank(A2751),,split(A2751,""-""))"),"")</f>
        <v/>
      </c>
      <c r="K2751" s="13" t="str">
        <f>IFERROR(__xludf.DUMMYFUNCTION("if(isblank(B2751),,split(B2751,""-""))"),"")</f>
        <v/>
      </c>
    </row>
    <row r="2752">
      <c r="A2752" s="132"/>
      <c r="B2752" s="41"/>
      <c r="C2752" s="9"/>
      <c r="D2752" s="133"/>
      <c r="E2752" s="133"/>
      <c r="F2752" s="24"/>
      <c r="G2752" s="24"/>
      <c r="I2752" s="13" t="str">
        <f>IFERROR(__xludf.DUMMYFUNCTION("if(isblank(A2752),,split(A2752,""-""))"),"")</f>
        <v/>
      </c>
      <c r="K2752" s="13" t="str">
        <f>IFERROR(__xludf.DUMMYFUNCTION("if(isblank(B2752),,split(B2752,""-""))"),"")</f>
        <v/>
      </c>
    </row>
    <row r="2753">
      <c r="A2753" s="132"/>
      <c r="B2753" s="41"/>
      <c r="C2753" s="9"/>
      <c r="D2753" s="133"/>
      <c r="E2753" s="133"/>
      <c r="F2753" s="24"/>
      <c r="G2753" s="24"/>
      <c r="I2753" s="13" t="str">
        <f>IFERROR(__xludf.DUMMYFUNCTION("if(isblank(A2753),,split(A2753,""-""))"),"")</f>
        <v/>
      </c>
      <c r="K2753" s="13" t="str">
        <f>IFERROR(__xludf.DUMMYFUNCTION("if(isblank(B2753),,split(B2753,""-""))"),"")</f>
        <v/>
      </c>
    </row>
    <row r="2754">
      <c r="A2754" s="132"/>
      <c r="B2754" s="41"/>
      <c r="C2754" s="9"/>
      <c r="D2754" s="133"/>
      <c r="E2754" s="133"/>
      <c r="F2754" s="24"/>
      <c r="G2754" s="24"/>
      <c r="I2754" s="13" t="str">
        <f>IFERROR(__xludf.DUMMYFUNCTION("if(isblank(A2754),,split(A2754,""-""))"),"")</f>
        <v/>
      </c>
      <c r="K2754" s="13" t="str">
        <f>IFERROR(__xludf.DUMMYFUNCTION("if(isblank(B2754),,split(B2754,""-""))"),"")</f>
        <v/>
      </c>
    </row>
    <row r="2755">
      <c r="A2755" s="132"/>
      <c r="B2755" s="41"/>
      <c r="C2755" s="9"/>
      <c r="D2755" s="133"/>
      <c r="E2755" s="133"/>
      <c r="F2755" s="24"/>
      <c r="G2755" s="24"/>
      <c r="I2755" s="13" t="str">
        <f>IFERROR(__xludf.DUMMYFUNCTION("if(isblank(A2755),,split(A2755,""-""))"),"")</f>
        <v/>
      </c>
      <c r="K2755" s="13" t="str">
        <f>IFERROR(__xludf.DUMMYFUNCTION("if(isblank(B2755),,split(B2755,""-""))"),"")</f>
        <v/>
      </c>
    </row>
    <row r="2756">
      <c r="A2756" s="132"/>
      <c r="B2756" s="41"/>
      <c r="C2756" s="9"/>
      <c r="D2756" s="133"/>
      <c r="E2756" s="133"/>
      <c r="F2756" s="24"/>
      <c r="G2756" s="24"/>
      <c r="I2756" s="13" t="str">
        <f>IFERROR(__xludf.DUMMYFUNCTION("if(isblank(A2756),,split(A2756,""-""))"),"")</f>
        <v/>
      </c>
      <c r="K2756" s="13" t="str">
        <f>IFERROR(__xludf.DUMMYFUNCTION("if(isblank(B2756),,split(B2756,""-""))"),"")</f>
        <v/>
      </c>
    </row>
    <row r="2757">
      <c r="A2757" s="132"/>
      <c r="B2757" s="41"/>
      <c r="C2757" s="9"/>
      <c r="D2757" s="133"/>
      <c r="E2757" s="133"/>
      <c r="F2757" s="24"/>
      <c r="G2757" s="24"/>
      <c r="I2757" s="13" t="str">
        <f>IFERROR(__xludf.DUMMYFUNCTION("if(isblank(A2757),,split(A2757,""-""))"),"")</f>
        <v/>
      </c>
      <c r="K2757" s="13" t="str">
        <f>IFERROR(__xludf.DUMMYFUNCTION("if(isblank(B2757),,split(B2757,""-""))"),"")</f>
        <v/>
      </c>
    </row>
    <row r="2758">
      <c r="A2758" s="132"/>
      <c r="B2758" s="41"/>
      <c r="C2758" s="9"/>
      <c r="D2758" s="133"/>
      <c r="E2758" s="133"/>
      <c r="F2758" s="24"/>
      <c r="G2758" s="24"/>
      <c r="I2758" s="13" t="str">
        <f>IFERROR(__xludf.DUMMYFUNCTION("if(isblank(A2758),,split(A2758,""-""))"),"")</f>
        <v/>
      </c>
      <c r="K2758" s="13" t="str">
        <f>IFERROR(__xludf.DUMMYFUNCTION("if(isblank(B2758),,split(B2758,""-""))"),"")</f>
        <v/>
      </c>
    </row>
    <row r="2759">
      <c r="A2759" s="132"/>
      <c r="B2759" s="41"/>
      <c r="C2759" s="9"/>
      <c r="D2759" s="133"/>
      <c r="E2759" s="133"/>
      <c r="F2759" s="24"/>
      <c r="G2759" s="24"/>
      <c r="I2759" s="13" t="str">
        <f>IFERROR(__xludf.DUMMYFUNCTION("if(isblank(A2759),,split(A2759,""-""))"),"")</f>
        <v/>
      </c>
      <c r="K2759" s="13" t="str">
        <f>IFERROR(__xludf.DUMMYFUNCTION("if(isblank(B2759),,split(B2759,""-""))"),"")</f>
        <v/>
      </c>
    </row>
    <row r="2760">
      <c r="A2760" s="132"/>
      <c r="B2760" s="41"/>
      <c r="C2760" s="9"/>
      <c r="D2760" s="133"/>
      <c r="E2760" s="133"/>
      <c r="F2760" s="24"/>
      <c r="G2760" s="24"/>
      <c r="I2760" s="13" t="str">
        <f>IFERROR(__xludf.DUMMYFUNCTION("if(isblank(A2760),,split(A2760,""-""))"),"")</f>
        <v/>
      </c>
      <c r="K2760" s="13" t="str">
        <f>IFERROR(__xludf.DUMMYFUNCTION("if(isblank(B2760),,split(B2760,""-""))"),"")</f>
        <v/>
      </c>
    </row>
    <row r="2761">
      <c r="A2761" s="132"/>
      <c r="B2761" s="41"/>
      <c r="C2761" s="9"/>
      <c r="D2761" s="133"/>
      <c r="E2761" s="133"/>
      <c r="F2761" s="24"/>
      <c r="G2761" s="24"/>
      <c r="I2761" s="13" t="str">
        <f>IFERROR(__xludf.DUMMYFUNCTION("if(isblank(A2761),,split(A2761,""-""))"),"")</f>
        <v/>
      </c>
      <c r="K2761" s="13" t="str">
        <f>IFERROR(__xludf.DUMMYFUNCTION("if(isblank(B2761),,split(B2761,""-""))"),"")</f>
        <v/>
      </c>
    </row>
    <row r="2762">
      <c r="A2762" s="132"/>
      <c r="B2762" s="41"/>
      <c r="C2762" s="9"/>
      <c r="D2762" s="133"/>
      <c r="E2762" s="133"/>
      <c r="F2762" s="24"/>
      <c r="G2762" s="24"/>
      <c r="I2762" s="13" t="str">
        <f>IFERROR(__xludf.DUMMYFUNCTION("if(isblank(A2762),,split(A2762,""-""))"),"")</f>
        <v/>
      </c>
      <c r="K2762" s="13" t="str">
        <f>IFERROR(__xludf.DUMMYFUNCTION("if(isblank(B2762),,split(B2762,""-""))"),"")</f>
        <v/>
      </c>
    </row>
    <row r="2763">
      <c r="A2763" s="132"/>
      <c r="B2763" s="41"/>
      <c r="C2763" s="9"/>
      <c r="D2763" s="133"/>
      <c r="E2763" s="133"/>
      <c r="F2763" s="24"/>
      <c r="G2763" s="24"/>
      <c r="I2763" s="13" t="str">
        <f>IFERROR(__xludf.DUMMYFUNCTION("if(isblank(A2763),,split(A2763,""-""))"),"")</f>
        <v/>
      </c>
      <c r="K2763" s="13" t="str">
        <f>IFERROR(__xludf.DUMMYFUNCTION("if(isblank(B2763),,split(B2763,""-""))"),"")</f>
        <v/>
      </c>
    </row>
    <row r="2764">
      <c r="A2764" s="132"/>
      <c r="B2764" s="41"/>
      <c r="C2764" s="9"/>
      <c r="D2764" s="133"/>
      <c r="E2764" s="133"/>
      <c r="F2764" s="24"/>
      <c r="G2764" s="24"/>
      <c r="I2764" s="13" t="str">
        <f>IFERROR(__xludf.DUMMYFUNCTION("if(isblank(A2764),,split(A2764,""-""))"),"")</f>
        <v/>
      </c>
      <c r="K2764" s="13" t="str">
        <f>IFERROR(__xludf.DUMMYFUNCTION("if(isblank(B2764),,split(B2764,""-""))"),"")</f>
        <v/>
      </c>
    </row>
    <row r="2765">
      <c r="A2765" s="132"/>
      <c r="B2765" s="41"/>
      <c r="C2765" s="9"/>
      <c r="D2765" s="133"/>
      <c r="E2765" s="133"/>
      <c r="F2765" s="24"/>
      <c r="G2765" s="24"/>
      <c r="I2765" s="13" t="str">
        <f>IFERROR(__xludf.DUMMYFUNCTION("if(isblank(A2765),,split(A2765,""-""))"),"")</f>
        <v/>
      </c>
      <c r="K2765" s="13" t="str">
        <f>IFERROR(__xludf.DUMMYFUNCTION("if(isblank(B2765),,split(B2765,""-""))"),"")</f>
        <v/>
      </c>
    </row>
    <row r="2766">
      <c r="A2766" s="132"/>
      <c r="B2766" s="41"/>
      <c r="C2766" s="9"/>
      <c r="D2766" s="133"/>
      <c r="E2766" s="133"/>
      <c r="F2766" s="24"/>
      <c r="G2766" s="24"/>
      <c r="I2766" s="13" t="str">
        <f>IFERROR(__xludf.DUMMYFUNCTION("if(isblank(A2766),,split(A2766,""-""))"),"")</f>
        <v/>
      </c>
      <c r="K2766" s="13" t="str">
        <f>IFERROR(__xludf.DUMMYFUNCTION("if(isblank(B2766),,split(B2766,""-""))"),"")</f>
        <v/>
      </c>
    </row>
    <row r="2767">
      <c r="A2767" s="132"/>
      <c r="B2767" s="41"/>
      <c r="C2767" s="9"/>
      <c r="D2767" s="133"/>
      <c r="E2767" s="133"/>
      <c r="F2767" s="24"/>
      <c r="G2767" s="24"/>
      <c r="I2767" s="13" t="str">
        <f>IFERROR(__xludf.DUMMYFUNCTION("if(isblank(A2767),,split(A2767,""-""))"),"")</f>
        <v/>
      </c>
      <c r="K2767" s="13" t="str">
        <f>IFERROR(__xludf.DUMMYFUNCTION("if(isblank(B2767),,split(B2767,""-""))"),"")</f>
        <v/>
      </c>
    </row>
    <row r="2768">
      <c r="A2768" s="132"/>
      <c r="B2768" s="41"/>
      <c r="C2768" s="9"/>
      <c r="D2768" s="133"/>
      <c r="E2768" s="133"/>
      <c r="F2768" s="24"/>
      <c r="G2768" s="24"/>
      <c r="I2768" s="13" t="str">
        <f>IFERROR(__xludf.DUMMYFUNCTION("if(isblank(A2768),,split(A2768,""-""))"),"")</f>
        <v/>
      </c>
      <c r="K2768" s="13" t="str">
        <f>IFERROR(__xludf.DUMMYFUNCTION("if(isblank(B2768),,split(B2768,""-""))"),"")</f>
        <v/>
      </c>
    </row>
    <row r="2769">
      <c r="A2769" s="132"/>
      <c r="B2769" s="41"/>
      <c r="C2769" s="9"/>
      <c r="D2769" s="133"/>
      <c r="E2769" s="133"/>
      <c r="F2769" s="24"/>
      <c r="G2769" s="24"/>
      <c r="I2769" s="13" t="str">
        <f>IFERROR(__xludf.DUMMYFUNCTION("if(isblank(A2769),,split(A2769,""-""))"),"")</f>
        <v/>
      </c>
      <c r="K2769" s="13" t="str">
        <f>IFERROR(__xludf.DUMMYFUNCTION("if(isblank(B2769),,split(B2769,""-""))"),"")</f>
        <v/>
      </c>
    </row>
    <row r="2770">
      <c r="A2770" s="132"/>
      <c r="B2770" s="41"/>
      <c r="C2770" s="9"/>
      <c r="D2770" s="133"/>
      <c r="E2770" s="133"/>
      <c r="F2770" s="24"/>
      <c r="G2770" s="24"/>
      <c r="I2770" s="13" t="str">
        <f>IFERROR(__xludf.DUMMYFUNCTION("if(isblank(A2770),,split(A2770,""-""))"),"")</f>
        <v/>
      </c>
      <c r="K2770" s="13" t="str">
        <f>IFERROR(__xludf.DUMMYFUNCTION("if(isblank(B2770),,split(B2770,""-""))"),"")</f>
        <v/>
      </c>
    </row>
    <row r="2771">
      <c r="A2771" s="132"/>
      <c r="B2771" s="41"/>
      <c r="C2771" s="9"/>
      <c r="D2771" s="133"/>
      <c r="E2771" s="133"/>
      <c r="F2771" s="24"/>
      <c r="G2771" s="24"/>
      <c r="I2771" s="13" t="str">
        <f>IFERROR(__xludf.DUMMYFUNCTION("if(isblank(A2771),,split(A2771,""-""))"),"")</f>
        <v/>
      </c>
      <c r="K2771" s="13" t="str">
        <f>IFERROR(__xludf.DUMMYFUNCTION("if(isblank(B2771),,split(B2771,""-""))"),"")</f>
        <v/>
      </c>
    </row>
    <row r="2772">
      <c r="A2772" s="132"/>
      <c r="B2772" s="41"/>
      <c r="C2772" s="9"/>
      <c r="D2772" s="133"/>
      <c r="E2772" s="133"/>
      <c r="F2772" s="24"/>
      <c r="G2772" s="24"/>
      <c r="I2772" s="13" t="str">
        <f>IFERROR(__xludf.DUMMYFUNCTION("if(isblank(A2772),,split(A2772,""-""))"),"")</f>
        <v/>
      </c>
      <c r="K2772" s="13" t="str">
        <f>IFERROR(__xludf.DUMMYFUNCTION("if(isblank(B2772),,split(B2772,""-""))"),"")</f>
        <v/>
      </c>
    </row>
    <row r="2773">
      <c r="A2773" s="132"/>
      <c r="B2773" s="41"/>
      <c r="C2773" s="9"/>
      <c r="D2773" s="133"/>
      <c r="E2773" s="133"/>
      <c r="F2773" s="24"/>
      <c r="G2773" s="24"/>
      <c r="I2773" s="13" t="str">
        <f>IFERROR(__xludf.DUMMYFUNCTION("if(isblank(A2773),,split(A2773,""-""))"),"")</f>
        <v/>
      </c>
      <c r="K2773" s="13" t="str">
        <f>IFERROR(__xludf.DUMMYFUNCTION("if(isblank(B2773),,split(B2773,""-""))"),"")</f>
        <v/>
      </c>
    </row>
    <row r="2774">
      <c r="A2774" s="132"/>
      <c r="B2774" s="41"/>
      <c r="C2774" s="9"/>
      <c r="D2774" s="133"/>
      <c r="E2774" s="133"/>
      <c r="F2774" s="24"/>
      <c r="G2774" s="24"/>
      <c r="I2774" s="13" t="str">
        <f>IFERROR(__xludf.DUMMYFUNCTION("if(isblank(A2774),,split(A2774,""-""))"),"")</f>
        <v/>
      </c>
      <c r="K2774" s="13" t="str">
        <f>IFERROR(__xludf.DUMMYFUNCTION("if(isblank(B2774),,split(B2774,""-""))"),"")</f>
        <v/>
      </c>
    </row>
    <row r="2775">
      <c r="A2775" s="132"/>
      <c r="B2775" s="41"/>
      <c r="C2775" s="9"/>
      <c r="D2775" s="133"/>
      <c r="E2775" s="133"/>
      <c r="F2775" s="24"/>
      <c r="G2775" s="24"/>
      <c r="I2775" s="13" t="str">
        <f>IFERROR(__xludf.DUMMYFUNCTION("if(isblank(A2775),,split(A2775,""-""))"),"")</f>
        <v/>
      </c>
      <c r="K2775" s="13" t="str">
        <f>IFERROR(__xludf.DUMMYFUNCTION("if(isblank(B2775),,split(B2775,""-""))"),"")</f>
        <v/>
      </c>
    </row>
    <row r="2776">
      <c r="A2776" s="132"/>
      <c r="B2776" s="41"/>
      <c r="C2776" s="9"/>
      <c r="D2776" s="133"/>
      <c r="E2776" s="133"/>
      <c r="F2776" s="24"/>
      <c r="G2776" s="24"/>
      <c r="I2776" s="13" t="str">
        <f>IFERROR(__xludf.DUMMYFUNCTION("if(isblank(A2776),,split(A2776,""-""))"),"")</f>
        <v/>
      </c>
      <c r="K2776" s="13" t="str">
        <f>IFERROR(__xludf.DUMMYFUNCTION("if(isblank(B2776),,split(B2776,""-""))"),"")</f>
        <v/>
      </c>
    </row>
    <row r="2777">
      <c r="A2777" s="132"/>
      <c r="B2777" s="41"/>
      <c r="C2777" s="9"/>
      <c r="D2777" s="133"/>
      <c r="E2777" s="133"/>
      <c r="F2777" s="24"/>
      <c r="G2777" s="24"/>
      <c r="I2777" s="13" t="str">
        <f>IFERROR(__xludf.DUMMYFUNCTION("if(isblank(A2777),,split(A2777,""-""))"),"")</f>
        <v/>
      </c>
      <c r="K2777" s="13" t="str">
        <f>IFERROR(__xludf.DUMMYFUNCTION("if(isblank(B2777),,split(B2777,""-""))"),"")</f>
        <v/>
      </c>
    </row>
    <row r="2778">
      <c r="A2778" s="132"/>
      <c r="B2778" s="41"/>
      <c r="C2778" s="9"/>
      <c r="D2778" s="133"/>
      <c r="E2778" s="133"/>
      <c r="F2778" s="24"/>
      <c r="G2778" s="24"/>
      <c r="I2778" s="13" t="str">
        <f>IFERROR(__xludf.DUMMYFUNCTION("if(isblank(A2778),,split(A2778,""-""))"),"")</f>
        <v/>
      </c>
      <c r="K2778" s="13" t="str">
        <f>IFERROR(__xludf.DUMMYFUNCTION("if(isblank(B2778),,split(B2778,""-""))"),"")</f>
        <v/>
      </c>
    </row>
    <row r="2779">
      <c r="A2779" s="132"/>
      <c r="B2779" s="41"/>
      <c r="C2779" s="9"/>
      <c r="D2779" s="133"/>
      <c r="E2779" s="133"/>
      <c r="F2779" s="24"/>
      <c r="G2779" s="24"/>
      <c r="I2779" s="13" t="str">
        <f>IFERROR(__xludf.DUMMYFUNCTION("if(isblank(A2779),,split(A2779,""-""))"),"")</f>
        <v/>
      </c>
      <c r="K2779" s="13" t="str">
        <f>IFERROR(__xludf.DUMMYFUNCTION("if(isblank(B2779),,split(B2779,""-""))"),"")</f>
        <v/>
      </c>
    </row>
    <row r="2780">
      <c r="A2780" s="132"/>
      <c r="B2780" s="41"/>
      <c r="C2780" s="9"/>
      <c r="D2780" s="133"/>
      <c r="E2780" s="133"/>
      <c r="F2780" s="24"/>
      <c r="G2780" s="24"/>
      <c r="I2780" s="13" t="str">
        <f>IFERROR(__xludf.DUMMYFUNCTION("if(isblank(A2780),,split(A2780,""-""))"),"")</f>
        <v/>
      </c>
      <c r="K2780" s="13" t="str">
        <f>IFERROR(__xludf.DUMMYFUNCTION("if(isblank(B2780),,split(B2780,""-""))"),"")</f>
        <v/>
      </c>
    </row>
    <row r="2781">
      <c r="A2781" s="132"/>
      <c r="B2781" s="41"/>
      <c r="C2781" s="9"/>
      <c r="D2781" s="133"/>
      <c r="E2781" s="133"/>
      <c r="F2781" s="24"/>
      <c r="G2781" s="24"/>
      <c r="I2781" s="13" t="str">
        <f>IFERROR(__xludf.DUMMYFUNCTION("if(isblank(A2781),,split(A2781,""-""))"),"")</f>
        <v/>
      </c>
      <c r="K2781" s="13" t="str">
        <f>IFERROR(__xludf.DUMMYFUNCTION("if(isblank(B2781),,split(B2781,""-""))"),"")</f>
        <v/>
      </c>
    </row>
    <row r="2782">
      <c r="A2782" s="132"/>
      <c r="B2782" s="41"/>
      <c r="C2782" s="9"/>
      <c r="D2782" s="133"/>
      <c r="E2782" s="133"/>
      <c r="F2782" s="24"/>
      <c r="G2782" s="24"/>
      <c r="I2782" s="13" t="str">
        <f>IFERROR(__xludf.DUMMYFUNCTION("if(isblank(A2782),,split(A2782,""-""))"),"")</f>
        <v/>
      </c>
      <c r="K2782" s="13" t="str">
        <f>IFERROR(__xludf.DUMMYFUNCTION("if(isblank(B2782),,split(B2782,""-""))"),"")</f>
        <v/>
      </c>
    </row>
    <row r="2783">
      <c r="A2783" s="132"/>
      <c r="B2783" s="41"/>
      <c r="C2783" s="9"/>
      <c r="D2783" s="133"/>
      <c r="E2783" s="133"/>
      <c r="F2783" s="24"/>
      <c r="G2783" s="24"/>
      <c r="I2783" s="13" t="str">
        <f>IFERROR(__xludf.DUMMYFUNCTION("if(isblank(A2783),,split(A2783,""-""))"),"")</f>
        <v/>
      </c>
      <c r="K2783" s="13" t="str">
        <f>IFERROR(__xludf.DUMMYFUNCTION("if(isblank(B2783),,split(B2783,""-""))"),"")</f>
        <v/>
      </c>
    </row>
    <row r="2784">
      <c r="A2784" s="132"/>
      <c r="B2784" s="41"/>
      <c r="C2784" s="9"/>
      <c r="D2784" s="133"/>
      <c r="E2784" s="133"/>
      <c r="F2784" s="24"/>
      <c r="G2784" s="24"/>
      <c r="I2784" s="13" t="str">
        <f>IFERROR(__xludf.DUMMYFUNCTION("if(isblank(A2784),,split(A2784,""-""))"),"")</f>
        <v/>
      </c>
      <c r="K2784" s="13" t="str">
        <f>IFERROR(__xludf.DUMMYFUNCTION("if(isblank(B2784),,split(B2784,""-""))"),"")</f>
        <v/>
      </c>
    </row>
    <row r="2785">
      <c r="A2785" s="132"/>
      <c r="B2785" s="41"/>
      <c r="C2785" s="9"/>
      <c r="D2785" s="133"/>
      <c r="E2785" s="133"/>
      <c r="F2785" s="24"/>
      <c r="G2785" s="24"/>
      <c r="I2785" s="13" t="str">
        <f>IFERROR(__xludf.DUMMYFUNCTION("if(isblank(A2785),,split(A2785,""-""))"),"")</f>
        <v/>
      </c>
      <c r="K2785" s="13" t="str">
        <f>IFERROR(__xludf.DUMMYFUNCTION("if(isblank(B2785),,split(B2785,""-""))"),"")</f>
        <v/>
      </c>
    </row>
    <row r="2786">
      <c r="A2786" s="132"/>
      <c r="B2786" s="41"/>
      <c r="C2786" s="9"/>
      <c r="D2786" s="133"/>
      <c r="E2786" s="133"/>
      <c r="F2786" s="24"/>
      <c r="G2786" s="24"/>
      <c r="I2786" s="13" t="str">
        <f>IFERROR(__xludf.DUMMYFUNCTION("if(isblank(A2786),,split(A2786,""-""))"),"")</f>
        <v/>
      </c>
      <c r="K2786" s="13" t="str">
        <f>IFERROR(__xludf.DUMMYFUNCTION("if(isblank(B2786),,split(B2786,""-""))"),"")</f>
        <v/>
      </c>
    </row>
    <row r="2787">
      <c r="A2787" s="132"/>
      <c r="B2787" s="41"/>
      <c r="C2787" s="9"/>
      <c r="D2787" s="133"/>
      <c r="E2787" s="133"/>
      <c r="F2787" s="24"/>
      <c r="G2787" s="24"/>
      <c r="I2787" s="13" t="str">
        <f>IFERROR(__xludf.DUMMYFUNCTION("if(isblank(A2787),,split(A2787,""-""))"),"")</f>
        <v/>
      </c>
      <c r="K2787" s="13" t="str">
        <f>IFERROR(__xludf.DUMMYFUNCTION("if(isblank(B2787),,split(B2787,""-""))"),"")</f>
        <v/>
      </c>
    </row>
    <row r="2788">
      <c r="A2788" s="132"/>
      <c r="B2788" s="41"/>
      <c r="C2788" s="9"/>
      <c r="D2788" s="133"/>
      <c r="E2788" s="133"/>
      <c r="F2788" s="24"/>
      <c r="G2788" s="24"/>
      <c r="I2788" s="13" t="str">
        <f>IFERROR(__xludf.DUMMYFUNCTION("if(isblank(A2788),,split(A2788,""-""))"),"")</f>
        <v/>
      </c>
      <c r="K2788" s="13" t="str">
        <f>IFERROR(__xludf.DUMMYFUNCTION("if(isblank(B2788),,split(B2788,""-""))"),"")</f>
        <v/>
      </c>
    </row>
    <row r="2789">
      <c r="A2789" s="132"/>
      <c r="B2789" s="41"/>
      <c r="C2789" s="9"/>
      <c r="D2789" s="133"/>
      <c r="E2789" s="133"/>
      <c r="F2789" s="24"/>
      <c r="G2789" s="24"/>
      <c r="I2789" s="13" t="str">
        <f>IFERROR(__xludf.DUMMYFUNCTION("if(isblank(A2789),,split(A2789,""-""))"),"")</f>
        <v/>
      </c>
      <c r="K2789" s="13" t="str">
        <f>IFERROR(__xludf.DUMMYFUNCTION("if(isblank(B2789),,split(B2789,""-""))"),"")</f>
        <v/>
      </c>
    </row>
    <row r="2790">
      <c r="A2790" s="132"/>
      <c r="B2790" s="41"/>
      <c r="C2790" s="9"/>
      <c r="D2790" s="133"/>
      <c r="E2790" s="133"/>
      <c r="F2790" s="24"/>
      <c r="G2790" s="24"/>
      <c r="I2790" s="13" t="str">
        <f>IFERROR(__xludf.DUMMYFUNCTION("if(isblank(A2790),,split(A2790,""-""))"),"")</f>
        <v/>
      </c>
      <c r="K2790" s="13" t="str">
        <f>IFERROR(__xludf.DUMMYFUNCTION("if(isblank(B2790),,split(B2790,""-""))"),"")</f>
        <v/>
      </c>
    </row>
    <row r="2791">
      <c r="A2791" s="132"/>
      <c r="B2791" s="41"/>
      <c r="C2791" s="9"/>
      <c r="D2791" s="133"/>
      <c r="E2791" s="133"/>
      <c r="F2791" s="24"/>
      <c r="G2791" s="24"/>
      <c r="I2791" s="13" t="str">
        <f>IFERROR(__xludf.DUMMYFUNCTION("if(isblank(A2791),,split(A2791,""-""))"),"")</f>
        <v/>
      </c>
      <c r="K2791" s="13" t="str">
        <f>IFERROR(__xludf.DUMMYFUNCTION("if(isblank(B2791),,split(B2791,""-""))"),"")</f>
        <v/>
      </c>
    </row>
    <row r="2792">
      <c r="A2792" s="132"/>
      <c r="B2792" s="41"/>
      <c r="C2792" s="9"/>
      <c r="D2792" s="133"/>
      <c r="E2792" s="133"/>
      <c r="F2792" s="24"/>
      <c r="G2792" s="24"/>
      <c r="I2792" s="13" t="str">
        <f>IFERROR(__xludf.DUMMYFUNCTION("if(isblank(A2792),,split(A2792,""-""))"),"")</f>
        <v/>
      </c>
      <c r="K2792" s="13" t="str">
        <f>IFERROR(__xludf.DUMMYFUNCTION("if(isblank(B2792),,split(B2792,""-""))"),"")</f>
        <v/>
      </c>
    </row>
    <row r="2793">
      <c r="A2793" s="132"/>
      <c r="B2793" s="41"/>
      <c r="C2793" s="9"/>
      <c r="D2793" s="133"/>
      <c r="E2793" s="133"/>
      <c r="F2793" s="24"/>
      <c r="G2793" s="24"/>
      <c r="I2793" s="13" t="str">
        <f>IFERROR(__xludf.DUMMYFUNCTION("if(isblank(A2793),,split(A2793,""-""))"),"")</f>
        <v/>
      </c>
      <c r="K2793" s="13" t="str">
        <f>IFERROR(__xludf.DUMMYFUNCTION("if(isblank(B2793),,split(B2793,""-""))"),"")</f>
        <v/>
      </c>
    </row>
    <row r="2794">
      <c r="A2794" s="132"/>
      <c r="B2794" s="41"/>
      <c r="C2794" s="9"/>
      <c r="D2794" s="133"/>
      <c r="E2794" s="133"/>
      <c r="F2794" s="24"/>
      <c r="G2794" s="24"/>
      <c r="I2794" s="13" t="str">
        <f>IFERROR(__xludf.DUMMYFUNCTION("if(isblank(A2794),,split(A2794,""-""))"),"")</f>
        <v/>
      </c>
      <c r="K2794" s="13" t="str">
        <f>IFERROR(__xludf.DUMMYFUNCTION("if(isblank(B2794),,split(B2794,""-""))"),"")</f>
        <v/>
      </c>
    </row>
    <row r="2795">
      <c r="A2795" s="132"/>
      <c r="B2795" s="41"/>
      <c r="C2795" s="9"/>
      <c r="D2795" s="133"/>
      <c r="E2795" s="133"/>
      <c r="F2795" s="24"/>
      <c r="G2795" s="24"/>
      <c r="I2795" s="13" t="str">
        <f>IFERROR(__xludf.DUMMYFUNCTION("if(isblank(A2795),,split(A2795,""-""))"),"")</f>
        <v/>
      </c>
      <c r="K2795" s="13" t="str">
        <f>IFERROR(__xludf.DUMMYFUNCTION("if(isblank(B2795),,split(B2795,""-""))"),"")</f>
        <v/>
      </c>
    </row>
    <row r="2796">
      <c r="A2796" s="132"/>
      <c r="B2796" s="41"/>
      <c r="C2796" s="9"/>
      <c r="D2796" s="133"/>
      <c r="E2796" s="133"/>
      <c r="F2796" s="24"/>
      <c r="G2796" s="24"/>
      <c r="I2796" s="13" t="str">
        <f>IFERROR(__xludf.DUMMYFUNCTION("if(isblank(A2796),,split(A2796,""-""))"),"")</f>
        <v/>
      </c>
      <c r="K2796" s="13" t="str">
        <f>IFERROR(__xludf.DUMMYFUNCTION("if(isblank(B2796),,split(B2796,""-""))"),"")</f>
        <v/>
      </c>
    </row>
    <row r="2797">
      <c r="A2797" s="132"/>
      <c r="B2797" s="41"/>
      <c r="C2797" s="9"/>
      <c r="D2797" s="133"/>
      <c r="E2797" s="133"/>
      <c r="F2797" s="24"/>
      <c r="G2797" s="24"/>
      <c r="I2797" s="13" t="str">
        <f>IFERROR(__xludf.DUMMYFUNCTION("if(isblank(A2797),,split(A2797,""-""))"),"")</f>
        <v/>
      </c>
      <c r="K2797" s="13" t="str">
        <f>IFERROR(__xludf.DUMMYFUNCTION("if(isblank(B2797),,split(B2797,""-""))"),"")</f>
        <v/>
      </c>
    </row>
    <row r="2798">
      <c r="A2798" s="132"/>
      <c r="B2798" s="41"/>
      <c r="C2798" s="9"/>
      <c r="D2798" s="133"/>
      <c r="E2798" s="133"/>
      <c r="F2798" s="24"/>
      <c r="G2798" s="24"/>
      <c r="I2798" s="13" t="str">
        <f>IFERROR(__xludf.DUMMYFUNCTION("if(isblank(A2798),,split(A2798,""-""))"),"")</f>
        <v/>
      </c>
      <c r="K2798" s="13" t="str">
        <f>IFERROR(__xludf.DUMMYFUNCTION("if(isblank(B2798),,split(B2798,""-""))"),"")</f>
        <v/>
      </c>
    </row>
    <row r="2799">
      <c r="A2799" s="132"/>
      <c r="B2799" s="41"/>
      <c r="C2799" s="9"/>
      <c r="D2799" s="133"/>
      <c r="E2799" s="133"/>
      <c r="F2799" s="24"/>
      <c r="G2799" s="24"/>
      <c r="I2799" s="13" t="str">
        <f>IFERROR(__xludf.DUMMYFUNCTION("if(isblank(A2799),,split(A2799,""-""))"),"")</f>
        <v/>
      </c>
      <c r="K2799" s="13" t="str">
        <f>IFERROR(__xludf.DUMMYFUNCTION("if(isblank(B2799),,split(B2799,""-""))"),"")</f>
        <v/>
      </c>
    </row>
    <row r="2800">
      <c r="A2800" s="132"/>
      <c r="B2800" s="41"/>
      <c r="C2800" s="9"/>
      <c r="D2800" s="133"/>
      <c r="E2800" s="133"/>
      <c r="F2800" s="24"/>
      <c r="G2800" s="24"/>
      <c r="I2800" s="13" t="str">
        <f>IFERROR(__xludf.DUMMYFUNCTION("if(isblank(A2800),,split(A2800,""-""))"),"")</f>
        <v/>
      </c>
      <c r="K2800" s="13" t="str">
        <f>IFERROR(__xludf.DUMMYFUNCTION("if(isblank(B2800),,split(B2800,""-""))"),"")</f>
        <v/>
      </c>
    </row>
    <row r="2801">
      <c r="A2801" s="132"/>
      <c r="B2801" s="41"/>
      <c r="C2801" s="9"/>
      <c r="D2801" s="133"/>
      <c r="E2801" s="133"/>
      <c r="F2801" s="24"/>
      <c r="G2801" s="24"/>
      <c r="I2801" s="13" t="str">
        <f>IFERROR(__xludf.DUMMYFUNCTION("if(isblank(A2801),,split(A2801,""-""))"),"")</f>
        <v/>
      </c>
      <c r="K2801" s="13" t="str">
        <f>IFERROR(__xludf.DUMMYFUNCTION("if(isblank(B2801),,split(B2801,""-""))"),"")</f>
        <v/>
      </c>
    </row>
    <row r="2802">
      <c r="A2802" s="132"/>
      <c r="B2802" s="41"/>
      <c r="C2802" s="9"/>
      <c r="D2802" s="133"/>
      <c r="E2802" s="133"/>
      <c r="F2802" s="24"/>
      <c r="G2802" s="24"/>
      <c r="I2802" s="13" t="str">
        <f>IFERROR(__xludf.DUMMYFUNCTION("if(isblank(A2802),,split(A2802,""-""))"),"")</f>
        <v/>
      </c>
      <c r="K2802" s="13" t="str">
        <f>IFERROR(__xludf.DUMMYFUNCTION("if(isblank(B2802),,split(B2802,""-""))"),"")</f>
        <v/>
      </c>
    </row>
    <row r="2803">
      <c r="A2803" s="132"/>
      <c r="B2803" s="41"/>
      <c r="C2803" s="9"/>
      <c r="D2803" s="133"/>
      <c r="E2803" s="133"/>
      <c r="F2803" s="24"/>
      <c r="G2803" s="24"/>
      <c r="I2803" s="13" t="str">
        <f>IFERROR(__xludf.DUMMYFUNCTION("if(isblank(A2803),,split(A2803,""-""))"),"")</f>
        <v/>
      </c>
      <c r="K2803" s="13" t="str">
        <f>IFERROR(__xludf.DUMMYFUNCTION("if(isblank(B2803),,split(B2803,""-""))"),"")</f>
        <v/>
      </c>
    </row>
    <row r="2804">
      <c r="A2804" s="132"/>
      <c r="B2804" s="41"/>
      <c r="C2804" s="9"/>
      <c r="D2804" s="133"/>
      <c r="E2804" s="133"/>
      <c r="F2804" s="24"/>
      <c r="G2804" s="24"/>
      <c r="I2804" s="13" t="str">
        <f>IFERROR(__xludf.DUMMYFUNCTION("if(isblank(A2804),,split(A2804,""-""))"),"")</f>
        <v/>
      </c>
      <c r="K2804" s="13" t="str">
        <f>IFERROR(__xludf.DUMMYFUNCTION("if(isblank(B2804),,split(B2804,""-""))"),"")</f>
        <v/>
      </c>
    </row>
    <row r="2805">
      <c r="A2805" s="132"/>
      <c r="B2805" s="41"/>
      <c r="C2805" s="9"/>
      <c r="D2805" s="133"/>
      <c r="E2805" s="133"/>
      <c r="F2805" s="24"/>
      <c r="G2805" s="24"/>
      <c r="I2805" s="13" t="str">
        <f>IFERROR(__xludf.DUMMYFUNCTION("if(isblank(A2805),,split(A2805,""-""))"),"")</f>
        <v/>
      </c>
      <c r="K2805" s="13" t="str">
        <f>IFERROR(__xludf.DUMMYFUNCTION("if(isblank(B2805),,split(B2805,""-""))"),"")</f>
        <v/>
      </c>
    </row>
    <row r="2806">
      <c r="A2806" s="132"/>
      <c r="B2806" s="41"/>
      <c r="C2806" s="9"/>
      <c r="D2806" s="133"/>
      <c r="E2806" s="133"/>
      <c r="F2806" s="24"/>
      <c r="G2806" s="24"/>
      <c r="I2806" s="13" t="str">
        <f>IFERROR(__xludf.DUMMYFUNCTION("if(isblank(A2806),,split(A2806,""-""))"),"")</f>
        <v/>
      </c>
      <c r="K2806" s="13" t="str">
        <f>IFERROR(__xludf.DUMMYFUNCTION("if(isblank(B2806),,split(B2806,""-""))"),"")</f>
        <v/>
      </c>
    </row>
    <row r="2807">
      <c r="A2807" s="132"/>
      <c r="B2807" s="41"/>
      <c r="C2807" s="9"/>
      <c r="D2807" s="133"/>
      <c r="E2807" s="133"/>
      <c r="F2807" s="24"/>
      <c r="G2807" s="24"/>
      <c r="I2807" s="13" t="str">
        <f>IFERROR(__xludf.DUMMYFUNCTION("if(isblank(A2807),,split(A2807,""-""))"),"")</f>
        <v/>
      </c>
      <c r="K2807" s="13" t="str">
        <f>IFERROR(__xludf.DUMMYFUNCTION("if(isblank(B2807),,split(B2807,""-""))"),"")</f>
        <v/>
      </c>
    </row>
    <row r="2808">
      <c r="A2808" s="132"/>
      <c r="B2808" s="41"/>
      <c r="C2808" s="9"/>
      <c r="D2808" s="133"/>
      <c r="E2808" s="133"/>
      <c r="F2808" s="24"/>
      <c r="G2808" s="24"/>
      <c r="I2808" s="13" t="str">
        <f>IFERROR(__xludf.DUMMYFUNCTION("if(isblank(A2808),,split(A2808,""-""))"),"")</f>
        <v/>
      </c>
      <c r="K2808" s="13" t="str">
        <f>IFERROR(__xludf.DUMMYFUNCTION("if(isblank(B2808),,split(B2808,""-""))"),"")</f>
        <v/>
      </c>
    </row>
    <row r="2809">
      <c r="A2809" s="132"/>
      <c r="B2809" s="41"/>
      <c r="C2809" s="9"/>
      <c r="D2809" s="133"/>
      <c r="E2809" s="133"/>
      <c r="F2809" s="24"/>
      <c r="G2809" s="24"/>
      <c r="I2809" s="13" t="str">
        <f>IFERROR(__xludf.DUMMYFUNCTION("if(isblank(A2809),,split(A2809,""-""))"),"")</f>
        <v/>
      </c>
      <c r="K2809" s="13" t="str">
        <f>IFERROR(__xludf.DUMMYFUNCTION("if(isblank(B2809),,split(B2809,""-""))"),"")</f>
        <v/>
      </c>
    </row>
    <row r="2810">
      <c r="A2810" s="132"/>
      <c r="B2810" s="41"/>
      <c r="C2810" s="9"/>
      <c r="D2810" s="133"/>
      <c r="E2810" s="133"/>
      <c r="F2810" s="24"/>
      <c r="G2810" s="24"/>
      <c r="I2810" s="13" t="str">
        <f>IFERROR(__xludf.DUMMYFUNCTION("if(isblank(A2810),,split(A2810,""-""))"),"")</f>
        <v/>
      </c>
      <c r="K2810" s="13" t="str">
        <f>IFERROR(__xludf.DUMMYFUNCTION("if(isblank(B2810),,split(B2810,""-""))"),"")</f>
        <v/>
      </c>
    </row>
    <row r="2811">
      <c r="A2811" s="132"/>
      <c r="B2811" s="41"/>
      <c r="C2811" s="9"/>
      <c r="D2811" s="133"/>
      <c r="E2811" s="133"/>
      <c r="F2811" s="24"/>
      <c r="G2811" s="24"/>
      <c r="I2811" s="13" t="str">
        <f>IFERROR(__xludf.DUMMYFUNCTION("if(isblank(A2811),,split(A2811,""-""))"),"")</f>
        <v/>
      </c>
      <c r="K2811" s="13" t="str">
        <f>IFERROR(__xludf.DUMMYFUNCTION("if(isblank(B2811),,split(B2811,""-""))"),"")</f>
        <v/>
      </c>
    </row>
    <row r="2812">
      <c r="A2812" s="132"/>
      <c r="B2812" s="41"/>
      <c r="C2812" s="9"/>
      <c r="D2812" s="133"/>
      <c r="E2812" s="133"/>
      <c r="F2812" s="24"/>
      <c r="G2812" s="24"/>
      <c r="I2812" s="13" t="str">
        <f>IFERROR(__xludf.DUMMYFUNCTION("if(isblank(A2812),,split(A2812,""-""))"),"")</f>
        <v/>
      </c>
      <c r="K2812" s="13" t="str">
        <f>IFERROR(__xludf.DUMMYFUNCTION("if(isblank(B2812),,split(B2812,""-""))"),"")</f>
        <v/>
      </c>
    </row>
    <row r="2813">
      <c r="A2813" s="132"/>
      <c r="B2813" s="41"/>
      <c r="C2813" s="9"/>
      <c r="D2813" s="133"/>
      <c r="E2813" s="133"/>
      <c r="F2813" s="24"/>
      <c r="G2813" s="24"/>
      <c r="I2813" s="13" t="str">
        <f>IFERROR(__xludf.DUMMYFUNCTION("if(isblank(A2813),,split(A2813,""-""))"),"")</f>
        <v/>
      </c>
      <c r="K2813" s="13" t="str">
        <f>IFERROR(__xludf.DUMMYFUNCTION("if(isblank(B2813),,split(B2813,""-""))"),"")</f>
        <v/>
      </c>
    </row>
    <row r="2814">
      <c r="A2814" s="132"/>
      <c r="B2814" s="41"/>
      <c r="C2814" s="9"/>
      <c r="D2814" s="133"/>
      <c r="E2814" s="133"/>
      <c r="F2814" s="24"/>
      <c r="G2814" s="24"/>
      <c r="I2814" s="13" t="str">
        <f>IFERROR(__xludf.DUMMYFUNCTION("if(isblank(A2814),,split(A2814,""-""))"),"")</f>
        <v/>
      </c>
      <c r="K2814" s="13" t="str">
        <f>IFERROR(__xludf.DUMMYFUNCTION("if(isblank(B2814),,split(B2814,""-""))"),"")</f>
        <v/>
      </c>
    </row>
    <row r="2815">
      <c r="A2815" s="132"/>
      <c r="B2815" s="41"/>
      <c r="C2815" s="9"/>
      <c r="D2815" s="133"/>
      <c r="E2815" s="133"/>
      <c r="F2815" s="24"/>
      <c r="G2815" s="24"/>
      <c r="I2815" s="13" t="str">
        <f>IFERROR(__xludf.DUMMYFUNCTION("if(isblank(A2815),,split(A2815,""-""))"),"")</f>
        <v/>
      </c>
      <c r="K2815" s="13" t="str">
        <f>IFERROR(__xludf.DUMMYFUNCTION("if(isblank(B2815),,split(B2815,""-""))"),"")</f>
        <v/>
      </c>
    </row>
    <row r="2816">
      <c r="A2816" s="132"/>
      <c r="B2816" s="41"/>
      <c r="C2816" s="9"/>
      <c r="D2816" s="133"/>
      <c r="E2816" s="133"/>
      <c r="F2816" s="24"/>
      <c r="G2816" s="24"/>
      <c r="I2816" s="13" t="str">
        <f>IFERROR(__xludf.DUMMYFUNCTION("if(isblank(A2816),,split(A2816,""-""))"),"")</f>
        <v/>
      </c>
      <c r="K2816" s="13" t="str">
        <f>IFERROR(__xludf.DUMMYFUNCTION("if(isblank(B2816),,split(B2816,""-""))"),"")</f>
        <v/>
      </c>
    </row>
    <row r="2817">
      <c r="A2817" s="132"/>
      <c r="B2817" s="41"/>
      <c r="C2817" s="9"/>
      <c r="D2817" s="133"/>
      <c r="E2817" s="133"/>
      <c r="F2817" s="24"/>
      <c r="G2817" s="24"/>
      <c r="I2817" s="13" t="str">
        <f>IFERROR(__xludf.DUMMYFUNCTION("if(isblank(A2817),,split(A2817,""-""))"),"")</f>
        <v/>
      </c>
      <c r="K2817" s="13" t="str">
        <f>IFERROR(__xludf.DUMMYFUNCTION("if(isblank(B2817),,split(B2817,""-""))"),"")</f>
        <v/>
      </c>
    </row>
    <row r="2818">
      <c r="A2818" s="132"/>
      <c r="B2818" s="41"/>
      <c r="C2818" s="9"/>
      <c r="D2818" s="133"/>
      <c r="E2818" s="133"/>
      <c r="F2818" s="24"/>
      <c r="G2818" s="24"/>
      <c r="I2818" s="13" t="str">
        <f>IFERROR(__xludf.DUMMYFUNCTION("if(isblank(A2818),,split(A2818,""-""))"),"")</f>
        <v/>
      </c>
      <c r="K2818" s="13" t="str">
        <f>IFERROR(__xludf.DUMMYFUNCTION("if(isblank(B2818),,split(B2818,""-""))"),"")</f>
        <v/>
      </c>
    </row>
    <row r="2819">
      <c r="A2819" s="132"/>
      <c r="B2819" s="41"/>
      <c r="C2819" s="9"/>
      <c r="D2819" s="133"/>
      <c r="E2819" s="133"/>
      <c r="F2819" s="24"/>
      <c r="G2819" s="24"/>
      <c r="I2819" s="13" t="str">
        <f>IFERROR(__xludf.DUMMYFUNCTION("if(isblank(A2819),,split(A2819,""-""))"),"")</f>
        <v/>
      </c>
      <c r="K2819" s="13" t="str">
        <f>IFERROR(__xludf.DUMMYFUNCTION("if(isblank(B2819),,split(B2819,""-""))"),"")</f>
        <v/>
      </c>
    </row>
    <row r="2820">
      <c r="A2820" s="132"/>
      <c r="B2820" s="41"/>
      <c r="C2820" s="9"/>
      <c r="D2820" s="133"/>
      <c r="E2820" s="133"/>
      <c r="F2820" s="24"/>
      <c r="G2820" s="24"/>
      <c r="I2820" s="13" t="str">
        <f>IFERROR(__xludf.DUMMYFUNCTION("if(isblank(A2820),,split(A2820,""-""))"),"")</f>
        <v/>
      </c>
      <c r="K2820" s="13" t="str">
        <f>IFERROR(__xludf.DUMMYFUNCTION("if(isblank(B2820),,split(B2820,""-""))"),"")</f>
        <v/>
      </c>
    </row>
    <row r="2821">
      <c r="A2821" s="132"/>
      <c r="B2821" s="41"/>
      <c r="C2821" s="9"/>
      <c r="D2821" s="133"/>
      <c r="E2821" s="133"/>
      <c r="F2821" s="24"/>
      <c r="G2821" s="24"/>
      <c r="I2821" s="13" t="str">
        <f>IFERROR(__xludf.DUMMYFUNCTION("if(isblank(A2821),,split(A2821,""-""))"),"")</f>
        <v/>
      </c>
      <c r="K2821" s="13" t="str">
        <f>IFERROR(__xludf.DUMMYFUNCTION("if(isblank(B2821),,split(B2821,""-""))"),"")</f>
        <v/>
      </c>
    </row>
    <row r="2822">
      <c r="A2822" s="132"/>
      <c r="B2822" s="41"/>
      <c r="C2822" s="9"/>
      <c r="D2822" s="133"/>
      <c r="E2822" s="133"/>
      <c r="F2822" s="24"/>
      <c r="G2822" s="24"/>
      <c r="I2822" s="13" t="str">
        <f>IFERROR(__xludf.DUMMYFUNCTION("if(isblank(A2822),,split(A2822,""-""))"),"")</f>
        <v/>
      </c>
      <c r="K2822" s="13" t="str">
        <f>IFERROR(__xludf.DUMMYFUNCTION("if(isblank(B2822),,split(B2822,""-""))"),"")</f>
        <v/>
      </c>
    </row>
    <row r="2823">
      <c r="A2823" s="132"/>
      <c r="B2823" s="41"/>
      <c r="C2823" s="9"/>
      <c r="D2823" s="133"/>
      <c r="E2823" s="133"/>
      <c r="F2823" s="24"/>
      <c r="G2823" s="24"/>
      <c r="I2823" s="13" t="str">
        <f>IFERROR(__xludf.DUMMYFUNCTION("if(isblank(A2823),,split(A2823,""-""))"),"")</f>
        <v/>
      </c>
      <c r="K2823" s="13" t="str">
        <f>IFERROR(__xludf.DUMMYFUNCTION("if(isblank(B2823),,split(B2823,""-""))"),"")</f>
        <v/>
      </c>
    </row>
    <row r="2824">
      <c r="A2824" s="132"/>
      <c r="B2824" s="41"/>
      <c r="C2824" s="9"/>
      <c r="D2824" s="133"/>
      <c r="E2824" s="133"/>
      <c r="F2824" s="24"/>
      <c r="G2824" s="24"/>
      <c r="I2824" s="13" t="str">
        <f>IFERROR(__xludf.DUMMYFUNCTION("if(isblank(A2824),,split(A2824,""-""))"),"")</f>
        <v/>
      </c>
      <c r="K2824" s="13" t="str">
        <f>IFERROR(__xludf.DUMMYFUNCTION("if(isblank(B2824),,split(B2824,""-""))"),"")</f>
        <v/>
      </c>
    </row>
    <row r="2825">
      <c r="A2825" s="132"/>
      <c r="B2825" s="41"/>
      <c r="C2825" s="9"/>
      <c r="D2825" s="133"/>
      <c r="E2825" s="133"/>
      <c r="F2825" s="24"/>
      <c r="G2825" s="24"/>
      <c r="I2825" s="13" t="str">
        <f>IFERROR(__xludf.DUMMYFUNCTION("if(isblank(A2825),,split(A2825,""-""))"),"")</f>
        <v/>
      </c>
      <c r="K2825" s="13" t="str">
        <f>IFERROR(__xludf.DUMMYFUNCTION("if(isblank(B2825),,split(B2825,""-""))"),"")</f>
        <v/>
      </c>
    </row>
    <row r="2826">
      <c r="A2826" s="132"/>
      <c r="B2826" s="41"/>
      <c r="C2826" s="9"/>
      <c r="D2826" s="133"/>
      <c r="E2826" s="133"/>
      <c r="F2826" s="24"/>
      <c r="G2826" s="24"/>
      <c r="I2826" s="13" t="str">
        <f>IFERROR(__xludf.DUMMYFUNCTION("if(isblank(A2826),,split(A2826,""-""))"),"")</f>
        <v/>
      </c>
      <c r="K2826" s="13" t="str">
        <f>IFERROR(__xludf.DUMMYFUNCTION("if(isblank(B2826),,split(B2826,""-""))"),"")</f>
        <v/>
      </c>
    </row>
    <row r="2827">
      <c r="A2827" s="132"/>
      <c r="B2827" s="41"/>
      <c r="C2827" s="9"/>
      <c r="D2827" s="133"/>
      <c r="E2827" s="133"/>
      <c r="F2827" s="24"/>
      <c r="G2827" s="24"/>
      <c r="I2827" s="13" t="str">
        <f>IFERROR(__xludf.DUMMYFUNCTION("if(isblank(A2827),,split(A2827,""-""))"),"")</f>
        <v/>
      </c>
      <c r="K2827" s="13" t="str">
        <f>IFERROR(__xludf.DUMMYFUNCTION("if(isblank(B2827),,split(B2827,""-""))"),"")</f>
        <v/>
      </c>
    </row>
    <row r="2828">
      <c r="A2828" s="132"/>
      <c r="B2828" s="41"/>
      <c r="C2828" s="9"/>
      <c r="D2828" s="133"/>
      <c r="E2828" s="133"/>
      <c r="F2828" s="24"/>
      <c r="G2828" s="24"/>
      <c r="I2828" s="13" t="str">
        <f>IFERROR(__xludf.DUMMYFUNCTION("if(isblank(A2828),,split(A2828,""-""))"),"")</f>
        <v/>
      </c>
      <c r="K2828" s="13" t="str">
        <f>IFERROR(__xludf.DUMMYFUNCTION("if(isblank(B2828),,split(B2828,""-""))"),"")</f>
        <v/>
      </c>
    </row>
    <row r="2829">
      <c r="A2829" s="132"/>
      <c r="B2829" s="41"/>
      <c r="C2829" s="9"/>
      <c r="D2829" s="133"/>
      <c r="E2829" s="133"/>
      <c r="F2829" s="24"/>
      <c r="G2829" s="24"/>
      <c r="I2829" s="13" t="str">
        <f>IFERROR(__xludf.DUMMYFUNCTION("if(isblank(A2829),,split(A2829,""-""))"),"")</f>
        <v/>
      </c>
      <c r="K2829" s="13" t="str">
        <f>IFERROR(__xludf.DUMMYFUNCTION("if(isblank(B2829),,split(B2829,""-""))"),"")</f>
        <v/>
      </c>
    </row>
    <row r="2830">
      <c r="A2830" s="132"/>
      <c r="B2830" s="41"/>
      <c r="C2830" s="9"/>
      <c r="D2830" s="133"/>
      <c r="E2830" s="133"/>
      <c r="F2830" s="24"/>
      <c r="G2830" s="24"/>
      <c r="I2830" s="13" t="str">
        <f>IFERROR(__xludf.DUMMYFUNCTION("if(isblank(A2830),,split(A2830,""-""))"),"")</f>
        <v/>
      </c>
      <c r="K2830" s="13" t="str">
        <f>IFERROR(__xludf.DUMMYFUNCTION("if(isblank(B2830),,split(B2830,""-""))"),"")</f>
        <v/>
      </c>
    </row>
    <row r="2831">
      <c r="A2831" s="132"/>
      <c r="B2831" s="41"/>
      <c r="C2831" s="9"/>
      <c r="D2831" s="133"/>
      <c r="E2831" s="133"/>
      <c r="F2831" s="24"/>
      <c r="G2831" s="24"/>
      <c r="I2831" s="13" t="str">
        <f>IFERROR(__xludf.DUMMYFUNCTION("if(isblank(A2831),,split(A2831,""-""))"),"")</f>
        <v/>
      </c>
      <c r="K2831" s="13" t="str">
        <f>IFERROR(__xludf.DUMMYFUNCTION("if(isblank(B2831),,split(B2831,""-""))"),"")</f>
        <v/>
      </c>
    </row>
    <row r="2832">
      <c r="A2832" s="132"/>
      <c r="B2832" s="41"/>
      <c r="C2832" s="9"/>
      <c r="D2832" s="133"/>
      <c r="E2832" s="133"/>
      <c r="F2832" s="24"/>
      <c r="G2832" s="24"/>
      <c r="I2832" s="13" t="str">
        <f>IFERROR(__xludf.DUMMYFUNCTION("if(isblank(A2832),,split(A2832,""-""))"),"")</f>
        <v/>
      </c>
      <c r="K2832" s="13" t="str">
        <f>IFERROR(__xludf.DUMMYFUNCTION("if(isblank(B2832),,split(B2832,""-""))"),"")</f>
        <v/>
      </c>
    </row>
    <row r="2833">
      <c r="A2833" s="132"/>
      <c r="B2833" s="41"/>
      <c r="C2833" s="9"/>
      <c r="D2833" s="133"/>
      <c r="E2833" s="133"/>
      <c r="F2833" s="24"/>
      <c r="G2833" s="24"/>
      <c r="I2833" s="13" t="str">
        <f>IFERROR(__xludf.DUMMYFUNCTION("if(isblank(A2833),,split(A2833,""-""))"),"")</f>
        <v/>
      </c>
      <c r="K2833" s="13" t="str">
        <f>IFERROR(__xludf.DUMMYFUNCTION("if(isblank(B2833),,split(B2833,""-""))"),"")</f>
        <v/>
      </c>
    </row>
    <row r="2834">
      <c r="A2834" s="132"/>
      <c r="B2834" s="41"/>
      <c r="C2834" s="9"/>
      <c r="D2834" s="133"/>
      <c r="E2834" s="133"/>
      <c r="F2834" s="24"/>
      <c r="G2834" s="24"/>
      <c r="I2834" s="13" t="str">
        <f>IFERROR(__xludf.DUMMYFUNCTION("if(isblank(A2834),,split(A2834,""-""))"),"")</f>
        <v/>
      </c>
      <c r="K2834" s="13" t="str">
        <f>IFERROR(__xludf.DUMMYFUNCTION("if(isblank(B2834),,split(B2834,""-""))"),"")</f>
        <v/>
      </c>
    </row>
    <row r="2835">
      <c r="A2835" s="132"/>
      <c r="B2835" s="41"/>
      <c r="C2835" s="9"/>
      <c r="D2835" s="133"/>
      <c r="E2835" s="133"/>
      <c r="F2835" s="24"/>
      <c r="G2835" s="24"/>
      <c r="I2835" s="13" t="str">
        <f>IFERROR(__xludf.DUMMYFUNCTION("if(isblank(A2835),,split(A2835,""-""))"),"")</f>
        <v/>
      </c>
      <c r="K2835" s="13" t="str">
        <f>IFERROR(__xludf.DUMMYFUNCTION("if(isblank(B2835),,split(B2835,""-""))"),"")</f>
        <v/>
      </c>
    </row>
    <row r="2836">
      <c r="A2836" s="132"/>
      <c r="B2836" s="41"/>
      <c r="C2836" s="9"/>
      <c r="D2836" s="133"/>
      <c r="E2836" s="133"/>
      <c r="F2836" s="24"/>
      <c r="G2836" s="24"/>
      <c r="I2836" s="13" t="str">
        <f>IFERROR(__xludf.DUMMYFUNCTION("if(isblank(A2836),,split(A2836,""-""))"),"")</f>
        <v/>
      </c>
      <c r="K2836" s="13" t="str">
        <f>IFERROR(__xludf.DUMMYFUNCTION("if(isblank(B2836),,split(B2836,""-""))"),"")</f>
        <v/>
      </c>
    </row>
    <row r="2837">
      <c r="A2837" s="132"/>
      <c r="B2837" s="41"/>
      <c r="C2837" s="9"/>
      <c r="D2837" s="133"/>
      <c r="E2837" s="133"/>
      <c r="F2837" s="24"/>
      <c r="G2837" s="24"/>
      <c r="I2837" s="13" t="str">
        <f>IFERROR(__xludf.DUMMYFUNCTION("if(isblank(A2837),,split(A2837,""-""))"),"")</f>
        <v/>
      </c>
      <c r="K2837" s="13" t="str">
        <f>IFERROR(__xludf.DUMMYFUNCTION("if(isblank(B2837),,split(B2837,""-""))"),"")</f>
        <v/>
      </c>
    </row>
    <row r="2838">
      <c r="A2838" s="132"/>
      <c r="B2838" s="41"/>
      <c r="C2838" s="9"/>
      <c r="D2838" s="133"/>
      <c r="E2838" s="133"/>
      <c r="F2838" s="24"/>
      <c r="G2838" s="24"/>
      <c r="I2838" s="13" t="str">
        <f>IFERROR(__xludf.DUMMYFUNCTION("if(isblank(A2838),,split(A2838,""-""))"),"")</f>
        <v/>
      </c>
      <c r="K2838" s="13" t="str">
        <f>IFERROR(__xludf.DUMMYFUNCTION("if(isblank(B2838),,split(B2838,""-""))"),"")</f>
        <v/>
      </c>
    </row>
    <row r="2839">
      <c r="A2839" s="132"/>
      <c r="B2839" s="41"/>
      <c r="C2839" s="9"/>
      <c r="D2839" s="133"/>
      <c r="E2839" s="133"/>
      <c r="F2839" s="24"/>
      <c r="G2839" s="24"/>
      <c r="I2839" s="13" t="str">
        <f>IFERROR(__xludf.DUMMYFUNCTION("if(isblank(A2839),,split(A2839,""-""))"),"")</f>
        <v/>
      </c>
      <c r="K2839" s="13" t="str">
        <f>IFERROR(__xludf.DUMMYFUNCTION("if(isblank(B2839),,split(B2839,""-""))"),"")</f>
        <v/>
      </c>
    </row>
    <row r="2840">
      <c r="A2840" s="132"/>
      <c r="B2840" s="41"/>
      <c r="C2840" s="9"/>
      <c r="D2840" s="133"/>
      <c r="E2840" s="133"/>
      <c r="F2840" s="24"/>
      <c r="G2840" s="24"/>
      <c r="I2840" s="13" t="str">
        <f>IFERROR(__xludf.DUMMYFUNCTION("if(isblank(A2840),,split(A2840,""-""))"),"")</f>
        <v/>
      </c>
      <c r="K2840" s="13" t="str">
        <f>IFERROR(__xludf.DUMMYFUNCTION("if(isblank(B2840),,split(B2840,""-""))"),"")</f>
        <v/>
      </c>
    </row>
    <row r="2841">
      <c r="A2841" s="132"/>
      <c r="B2841" s="41"/>
      <c r="C2841" s="9"/>
      <c r="D2841" s="133"/>
      <c r="E2841" s="133"/>
      <c r="F2841" s="24"/>
      <c r="G2841" s="24"/>
      <c r="I2841" s="13" t="str">
        <f>IFERROR(__xludf.DUMMYFUNCTION("if(isblank(A2841),,split(A2841,""-""))"),"")</f>
        <v/>
      </c>
      <c r="K2841" s="13" t="str">
        <f>IFERROR(__xludf.DUMMYFUNCTION("if(isblank(B2841),,split(B2841,""-""))"),"")</f>
        <v/>
      </c>
    </row>
    <row r="2842">
      <c r="A2842" s="132"/>
      <c r="B2842" s="41"/>
      <c r="C2842" s="9"/>
      <c r="D2842" s="133"/>
      <c r="E2842" s="133"/>
      <c r="F2842" s="24"/>
      <c r="G2842" s="24"/>
      <c r="I2842" s="13" t="str">
        <f>IFERROR(__xludf.DUMMYFUNCTION("if(isblank(A2842),,split(A2842,""-""))"),"")</f>
        <v/>
      </c>
      <c r="K2842" s="13" t="str">
        <f>IFERROR(__xludf.DUMMYFUNCTION("if(isblank(B2842),,split(B2842,""-""))"),"")</f>
        <v/>
      </c>
    </row>
    <row r="2843">
      <c r="A2843" s="132"/>
      <c r="B2843" s="41"/>
      <c r="C2843" s="9"/>
      <c r="D2843" s="133"/>
      <c r="E2843" s="133"/>
      <c r="F2843" s="24"/>
      <c r="G2843" s="24"/>
      <c r="I2843" s="13" t="str">
        <f>IFERROR(__xludf.DUMMYFUNCTION("if(isblank(A2843),,split(A2843,""-""))"),"")</f>
        <v/>
      </c>
      <c r="K2843" s="13" t="str">
        <f>IFERROR(__xludf.DUMMYFUNCTION("if(isblank(B2843),,split(B2843,""-""))"),"")</f>
        <v/>
      </c>
    </row>
    <row r="2844">
      <c r="A2844" s="132"/>
      <c r="B2844" s="41"/>
      <c r="C2844" s="9"/>
      <c r="D2844" s="133"/>
      <c r="E2844" s="133"/>
      <c r="F2844" s="24"/>
      <c r="G2844" s="24"/>
      <c r="I2844" s="13" t="str">
        <f>IFERROR(__xludf.DUMMYFUNCTION("if(isblank(A2844),,split(A2844,""-""))"),"")</f>
        <v/>
      </c>
      <c r="K2844" s="13" t="str">
        <f>IFERROR(__xludf.DUMMYFUNCTION("if(isblank(B2844),,split(B2844,""-""))"),"")</f>
        <v/>
      </c>
    </row>
    <row r="2845">
      <c r="A2845" s="132"/>
      <c r="B2845" s="41"/>
      <c r="C2845" s="9"/>
      <c r="D2845" s="133"/>
      <c r="E2845" s="133"/>
      <c r="F2845" s="24"/>
      <c r="G2845" s="24"/>
      <c r="I2845" s="13" t="str">
        <f>IFERROR(__xludf.DUMMYFUNCTION("if(isblank(A2845),,split(A2845,""-""))"),"")</f>
        <v/>
      </c>
      <c r="K2845" s="13" t="str">
        <f>IFERROR(__xludf.DUMMYFUNCTION("if(isblank(B2845),,split(B2845,""-""))"),"")</f>
        <v/>
      </c>
    </row>
    <row r="2846">
      <c r="A2846" s="132"/>
      <c r="B2846" s="41"/>
      <c r="C2846" s="9"/>
      <c r="D2846" s="133"/>
      <c r="E2846" s="133"/>
      <c r="F2846" s="24"/>
      <c r="G2846" s="24"/>
      <c r="I2846" s="13" t="str">
        <f>IFERROR(__xludf.DUMMYFUNCTION("if(isblank(A2846),,split(A2846,""-""))"),"")</f>
        <v/>
      </c>
      <c r="K2846" s="13" t="str">
        <f>IFERROR(__xludf.DUMMYFUNCTION("if(isblank(B2846),,split(B2846,""-""))"),"")</f>
        <v/>
      </c>
    </row>
    <row r="2847">
      <c r="A2847" s="132"/>
      <c r="B2847" s="41"/>
      <c r="C2847" s="9"/>
      <c r="D2847" s="133"/>
      <c r="E2847" s="133"/>
      <c r="F2847" s="24"/>
      <c r="G2847" s="24"/>
      <c r="I2847" s="13" t="str">
        <f>IFERROR(__xludf.DUMMYFUNCTION("if(isblank(A2847),,split(A2847,""-""))"),"")</f>
        <v/>
      </c>
      <c r="K2847" s="13" t="str">
        <f>IFERROR(__xludf.DUMMYFUNCTION("if(isblank(B2847),,split(B2847,""-""))"),"")</f>
        <v/>
      </c>
    </row>
    <row r="2848">
      <c r="A2848" s="132"/>
      <c r="B2848" s="41"/>
      <c r="C2848" s="9"/>
      <c r="D2848" s="133"/>
      <c r="E2848" s="133"/>
      <c r="F2848" s="24"/>
      <c r="G2848" s="24"/>
      <c r="I2848" s="13" t="str">
        <f>IFERROR(__xludf.DUMMYFUNCTION("if(isblank(A2848),,split(A2848,""-""))"),"")</f>
        <v/>
      </c>
      <c r="K2848" s="13" t="str">
        <f>IFERROR(__xludf.DUMMYFUNCTION("if(isblank(B2848),,split(B2848,""-""))"),"")</f>
        <v/>
      </c>
    </row>
    <row r="2849">
      <c r="A2849" s="132"/>
      <c r="B2849" s="41"/>
      <c r="C2849" s="9"/>
      <c r="D2849" s="133"/>
      <c r="E2849" s="133"/>
      <c r="F2849" s="24"/>
      <c r="G2849" s="24"/>
      <c r="I2849" s="13" t="str">
        <f>IFERROR(__xludf.DUMMYFUNCTION("if(isblank(A2849),,split(A2849,""-""))"),"")</f>
        <v/>
      </c>
      <c r="K2849" s="13" t="str">
        <f>IFERROR(__xludf.DUMMYFUNCTION("if(isblank(B2849),,split(B2849,""-""))"),"")</f>
        <v/>
      </c>
    </row>
    <row r="2850">
      <c r="A2850" s="132"/>
      <c r="B2850" s="41"/>
      <c r="C2850" s="9"/>
      <c r="D2850" s="133"/>
      <c r="E2850" s="133"/>
      <c r="F2850" s="24"/>
      <c r="G2850" s="24"/>
      <c r="I2850" s="13" t="str">
        <f>IFERROR(__xludf.DUMMYFUNCTION("if(isblank(A2850),,split(A2850,""-""))"),"")</f>
        <v/>
      </c>
      <c r="K2850" s="13" t="str">
        <f>IFERROR(__xludf.DUMMYFUNCTION("if(isblank(B2850),,split(B2850,""-""))"),"")</f>
        <v/>
      </c>
    </row>
    <row r="2851">
      <c r="A2851" s="132"/>
      <c r="B2851" s="41"/>
      <c r="C2851" s="9"/>
      <c r="D2851" s="133"/>
      <c r="E2851" s="133"/>
      <c r="F2851" s="24"/>
      <c r="G2851" s="24"/>
      <c r="I2851" s="13" t="str">
        <f>IFERROR(__xludf.DUMMYFUNCTION("if(isblank(A2851),,split(A2851,""-""))"),"")</f>
        <v/>
      </c>
      <c r="K2851" s="13" t="str">
        <f>IFERROR(__xludf.DUMMYFUNCTION("if(isblank(B2851),,split(B2851,""-""))"),"")</f>
        <v/>
      </c>
    </row>
    <row r="2852">
      <c r="A2852" s="132"/>
      <c r="B2852" s="41"/>
      <c r="C2852" s="9"/>
      <c r="D2852" s="133"/>
      <c r="E2852" s="133"/>
      <c r="F2852" s="24"/>
      <c r="G2852" s="24"/>
      <c r="I2852" s="13" t="str">
        <f>IFERROR(__xludf.DUMMYFUNCTION("if(isblank(A2852),,split(A2852,""-""))"),"")</f>
        <v/>
      </c>
      <c r="K2852" s="13" t="str">
        <f>IFERROR(__xludf.DUMMYFUNCTION("if(isblank(B2852),,split(B2852,""-""))"),"")</f>
        <v/>
      </c>
    </row>
    <row r="2853">
      <c r="A2853" s="132"/>
      <c r="B2853" s="41"/>
      <c r="C2853" s="9"/>
      <c r="D2853" s="133"/>
      <c r="E2853" s="133"/>
      <c r="F2853" s="24"/>
      <c r="G2853" s="24"/>
      <c r="I2853" s="13" t="str">
        <f>IFERROR(__xludf.DUMMYFUNCTION("if(isblank(A2853),,split(A2853,""-""))"),"")</f>
        <v/>
      </c>
      <c r="K2853" s="13" t="str">
        <f>IFERROR(__xludf.DUMMYFUNCTION("if(isblank(B2853),,split(B2853,""-""))"),"")</f>
        <v/>
      </c>
    </row>
    <row r="2854">
      <c r="A2854" s="132"/>
      <c r="B2854" s="41"/>
      <c r="C2854" s="9"/>
      <c r="D2854" s="133"/>
      <c r="E2854" s="133"/>
      <c r="F2854" s="24"/>
      <c r="G2854" s="24"/>
      <c r="I2854" s="13" t="str">
        <f>IFERROR(__xludf.DUMMYFUNCTION("if(isblank(A2854),,split(A2854,""-""))"),"")</f>
        <v/>
      </c>
      <c r="K2854" s="13" t="str">
        <f>IFERROR(__xludf.DUMMYFUNCTION("if(isblank(B2854),,split(B2854,""-""))"),"")</f>
        <v/>
      </c>
    </row>
    <row r="2855">
      <c r="A2855" s="132"/>
      <c r="B2855" s="41"/>
      <c r="C2855" s="9"/>
      <c r="D2855" s="133"/>
      <c r="E2855" s="133"/>
      <c r="F2855" s="24"/>
      <c r="G2855" s="24"/>
      <c r="I2855" s="13" t="str">
        <f>IFERROR(__xludf.DUMMYFUNCTION("if(isblank(A2855),,split(A2855,""-""))"),"")</f>
        <v/>
      </c>
      <c r="K2855" s="13" t="str">
        <f>IFERROR(__xludf.DUMMYFUNCTION("if(isblank(B2855),,split(B2855,""-""))"),"")</f>
        <v/>
      </c>
    </row>
    <row r="2856">
      <c r="A2856" s="132"/>
      <c r="B2856" s="41"/>
      <c r="C2856" s="9"/>
      <c r="D2856" s="133"/>
      <c r="E2856" s="133"/>
      <c r="F2856" s="24"/>
      <c r="G2856" s="24"/>
      <c r="I2856" s="13" t="str">
        <f>IFERROR(__xludf.DUMMYFUNCTION("if(isblank(A2856),,split(A2856,""-""))"),"")</f>
        <v/>
      </c>
      <c r="K2856" s="13" t="str">
        <f>IFERROR(__xludf.DUMMYFUNCTION("if(isblank(B2856),,split(B2856,""-""))"),"")</f>
        <v/>
      </c>
    </row>
    <row r="2857">
      <c r="A2857" s="132"/>
      <c r="B2857" s="41"/>
      <c r="C2857" s="9"/>
      <c r="D2857" s="133"/>
      <c r="E2857" s="133"/>
      <c r="F2857" s="24"/>
      <c r="G2857" s="24"/>
      <c r="I2857" s="13" t="str">
        <f>IFERROR(__xludf.DUMMYFUNCTION("if(isblank(A2857),,split(A2857,""-""))"),"")</f>
        <v/>
      </c>
      <c r="K2857" s="13" t="str">
        <f>IFERROR(__xludf.DUMMYFUNCTION("if(isblank(B2857),,split(B2857,""-""))"),"")</f>
        <v/>
      </c>
    </row>
    <row r="2858">
      <c r="A2858" s="132"/>
      <c r="B2858" s="41"/>
      <c r="C2858" s="9"/>
      <c r="D2858" s="133"/>
      <c r="E2858" s="133"/>
      <c r="F2858" s="24"/>
      <c r="G2858" s="24"/>
      <c r="I2858" s="13" t="str">
        <f>IFERROR(__xludf.DUMMYFUNCTION("if(isblank(A2858),,split(A2858,""-""))"),"")</f>
        <v/>
      </c>
      <c r="K2858" s="13" t="str">
        <f>IFERROR(__xludf.DUMMYFUNCTION("if(isblank(B2858),,split(B2858,""-""))"),"")</f>
        <v/>
      </c>
    </row>
    <row r="2859">
      <c r="A2859" s="132"/>
      <c r="B2859" s="41"/>
      <c r="C2859" s="9"/>
      <c r="D2859" s="133"/>
      <c r="E2859" s="133"/>
      <c r="F2859" s="24"/>
      <c r="G2859" s="24"/>
      <c r="I2859" s="13" t="str">
        <f>IFERROR(__xludf.DUMMYFUNCTION("if(isblank(A2859),,split(A2859,""-""))"),"")</f>
        <v/>
      </c>
      <c r="K2859" s="13" t="str">
        <f>IFERROR(__xludf.DUMMYFUNCTION("if(isblank(B2859),,split(B2859,""-""))"),"")</f>
        <v/>
      </c>
    </row>
    <row r="2860">
      <c r="A2860" s="132"/>
      <c r="B2860" s="41"/>
      <c r="C2860" s="9"/>
      <c r="D2860" s="133"/>
      <c r="E2860" s="133"/>
      <c r="F2860" s="24"/>
      <c r="G2860" s="24"/>
      <c r="I2860" s="13" t="str">
        <f>IFERROR(__xludf.DUMMYFUNCTION("if(isblank(A2860),,split(A2860,""-""))"),"")</f>
        <v/>
      </c>
      <c r="K2860" s="13" t="str">
        <f>IFERROR(__xludf.DUMMYFUNCTION("if(isblank(B2860),,split(B2860,""-""))"),"")</f>
        <v/>
      </c>
    </row>
    <row r="2861">
      <c r="A2861" s="132"/>
      <c r="B2861" s="41"/>
      <c r="C2861" s="9"/>
      <c r="D2861" s="133"/>
      <c r="E2861" s="133"/>
      <c r="F2861" s="24"/>
      <c r="G2861" s="24"/>
      <c r="I2861" s="13" t="str">
        <f>IFERROR(__xludf.DUMMYFUNCTION("if(isblank(A2861),,split(A2861,""-""))"),"")</f>
        <v/>
      </c>
      <c r="K2861" s="13" t="str">
        <f>IFERROR(__xludf.DUMMYFUNCTION("if(isblank(B2861),,split(B2861,""-""))"),"")</f>
        <v/>
      </c>
    </row>
    <row r="2862">
      <c r="A2862" s="132"/>
      <c r="B2862" s="41"/>
      <c r="C2862" s="9"/>
      <c r="D2862" s="133"/>
      <c r="E2862" s="133"/>
      <c r="F2862" s="24"/>
      <c r="G2862" s="24"/>
      <c r="I2862" s="13" t="str">
        <f>IFERROR(__xludf.DUMMYFUNCTION("if(isblank(A2862),,split(A2862,""-""))"),"")</f>
        <v/>
      </c>
      <c r="K2862" s="13" t="str">
        <f>IFERROR(__xludf.DUMMYFUNCTION("if(isblank(B2862),,split(B2862,""-""))"),"")</f>
        <v/>
      </c>
    </row>
    <row r="2863">
      <c r="A2863" s="132"/>
      <c r="B2863" s="41"/>
      <c r="C2863" s="9"/>
      <c r="D2863" s="133"/>
      <c r="E2863" s="133"/>
      <c r="F2863" s="24"/>
      <c r="G2863" s="24"/>
      <c r="I2863" s="13" t="str">
        <f>IFERROR(__xludf.DUMMYFUNCTION("if(isblank(A2863),,split(A2863,""-""))"),"")</f>
        <v/>
      </c>
      <c r="K2863" s="13" t="str">
        <f>IFERROR(__xludf.DUMMYFUNCTION("if(isblank(B2863),,split(B2863,""-""))"),"")</f>
        <v/>
      </c>
    </row>
    <row r="2864">
      <c r="A2864" s="132"/>
      <c r="B2864" s="41"/>
      <c r="C2864" s="9"/>
      <c r="D2864" s="133"/>
      <c r="E2864" s="133"/>
      <c r="F2864" s="24"/>
      <c r="G2864" s="24"/>
      <c r="I2864" s="13" t="str">
        <f>IFERROR(__xludf.DUMMYFUNCTION("if(isblank(A2864),,split(A2864,""-""))"),"")</f>
        <v/>
      </c>
      <c r="K2864" s="13" t="str">
        <f>IFERROR(__xludf.DUMMYFUNCTION("if(isblank(B2864),,split(B2864,""-""))"),"")</f>
        <v/>
      </c>
    </row>
    <row r="2865">
      <c r="A2865" s="132"/>
      <c r="B2865" s="41"/>
      <c r="C2865" s="9"/>
      <c r="D2865" s="133"/>
      <c r="E2865" s="133"/>
      <c r="F2865" s="24"/>
      <c r="G2865" s="24"/>
      <c r="I2865" s="13" t="str">
        <f>IFERROR(__xludf.DUMMYFUNCTION("if(isblank(A2865),,split(A2865,""-""))"),"")</f>
        <v/>
      </c>
      <c r="K2865" s="13" t="str">
        <f>IFERROR(__xludf.DUMMYFUNCTION("if(isblank(B2865),,split(B2865,""-""))"),"")</f>
        <v/>
      </c>
    </row>
    <row r="2866">
      <c r="A2866" s="132"/>
      <c r="B2866" s="41"/>
      <c r="C2866" s="9"/>
      <c r="D2866" s="133"/>
      <c r="E2866" s="133"/>
      <c r="F2866" s="24"/>
      <c r="G2866" s="24"/>
      <c r="I2866" s="13" t="str">
        <f>IFERROR(__xludf.DUMMYFUNCTION("if(isblank(A2866),,split(A2866,""-""))"),"")</f>
        <v/>
      </c>
      <c r="K2866" s="13" t="str">
        <f>IFERROR(__xludf.DUMMYFUNCTION("if(isblank(B2866),,split(B2866,""-""))"),"")</f>
        <v/>
      </c>
    </row>
    <row r="2867">
      <c r="A2867" s="132"/>
      <c r="B2867" s="41"/>
      <c r="C2867" s="9"/>
      <c r="D2867" s="133"/>
      <c r="E2867" s="133"/>
      <c r="F2867" s="24"/>
      <c r="G2867" s="24"/>
      <c r="I2867" s="13" t="str">
        <f>IFERROR(__xludf.DUMMYFUNCTION("if(isblank(A2867),,split(A2867,""-""))"),"")</f>
        <v/>
      </c>
      <c r="K2867" s="13" t="str">
        <f>IFERROR(__xludf.DUMMYFUNCTION("if(isblank(B2867),,split(B2867,""-""))"),"")</f>
        <v/>
      </c>
    </row>
    <row r="2868">
      <c r="A2868" s="132"/>
      <c r="B2868" s="41"/>
      <c r="C2868" s="9"/>
      <c r="D2868" s="133"/>
      <c r="E2868" s="133"/>
      <c r="F2868" s="24"/>
      <c r="G2868" s="24"/>
      <c r="I2868" s="13" t="str">
        <f>IFERROR(__xludf.DUMMYFUNCTION("if(isblank(A2868),,split(A2868,""-""))"),"")</f>
        <v/>
      </c>
      <c r="K2868" s="13" t="str">
        <f>IFERROR(__xludf.DUMMYFUNCTION("if(isblank(B2868),,split(B2868,""-""))"),"")</f>
        <v/>
      </c>
    </row>
    <row r="2869">
      <c r="A2869" s="132"/>
      <c r="B2869" s="41"/>
      <c r="C2869" s="9"/>
      <c r="D2869" s="133"/>
      <c r="E2869" s="133"/>
      <c r="F2869" s="24"/>
      <c r="G2869" s="24"/>
      <c r="I2869" s="13" t="str">
        <f>IFERROR(__xludf.DUMMYFUNCTION("if(isblank(A2869),,split(A2869,""-""))"),"")</f>
        <v/>
      </c>
      <c r="K2869" s="13" t="str">
        <f>IFERROR(__xludf.DUMMYFUNCTION("if(isblank(B2869),,split(B2869,""-""))"),"")</f>
        <v/>
      </c>
    </row>
    <row r="2870">
      <c r="A2870" s="132"/>
      <c r="B2870" s="41"/>
      <c r="C2870" s="9"/>
      <c r="D2870" s="133"/>
      <c r="E2870" s="133"/>
      <c r="F2870" s="24"/>
      <c r="G2870" s="24"/>
      <c r="I2870" s="13" t="str">
        <f>IFERROR(__xludf.DUMMYFUNCTION("if(isblank(A2870),,split(A2870,""-""))"),"")</f>
        <v/>
      </c>
      <c r="K2870" s="13" t="str">
        <f>IFERROR(__xludf.DUMMYFUNCTION("if(isblank(B2870),,split(B2870,""-""))"),"")</f>
        <v/>
      </c>
    </row>
    <row r="2871">
      <c r="A2871" s="132"/>
      <c r="B2871" s="41"/>
      <c r="C2871" s="9"/>
      <c r="D2871" s="133"/>
      <c r="E2871" s="133"/>
      <c r="F2871" s="24"/>
      <c r="G2871" s="24"/>
      <c r="I2871" s="13" t="str">
        <f>IFERROR(__xludf.DUMMYFUNCTION("if(isblank(A2871),,split(A2871,""-""))"),"")</f>
        <v/>
      </c>
      <c r="K2871" s="13" t="str">
        <f>IFERROR(__xludf.DUMMYFUNCTION("if(isblank(B2871),,split(B2871,""-""))"),"")</f>
        <v/>
      </c>
    </row>
    <row r="2872">
      <c r="A2872" s="132"/>
      <c r="B2872" s="41"/>
      <c r="C2872" s="9"/>
      <c r="D2872" s="133"/>
      <c r="E2872" s="133"/>
      <c r="F2872" s="24"/>
      <c r="G2872" s="24"/>
      <c r="I2872" s="13" t="str">
        <f>IFERROR(__xludf.DUMMYFUNCTION("if(isblank(A2872),,split(A2872,""-""))"),"")</f>
        <v/>
      </c>
      <c r="K2872" s="13" t="str">
        <f>IFERROR(__xludf.DUMMYFUNCTION("if(isblank(B2872),,split(B2872,""-""))"),"")</f>
        <v/>
      </c>
    </row>
    <row r="2873">
      <c r="A2873" s="132"/>
      <c r="B2873" s="41"/>
      <c r="C2873" s="9"/>
      <c r="D2873" s="133"/>
      <c r="E2873" s="133"/>
      <c r="F2873" s="24"/>
      <c r="G2873" s="24"/>
      <c r="I2873" s="13" t="str">
        <f>IFERROR(__xludf.DUMMYFUNCTION("if(isblank(A2873),,split(A2873,""-""))"),"")</f>
        <v/>
      </c>
      <c r="K2873" s="13" t="str">
        <f>IFERROR(__xludf.DUMMYFUNCTION("if(isblank(B2873),,split(B2873,""-""))"),"")</f>
        <v/>
      </c>
    </row>
    <row r="2874">
      <c r="A2874" s="132"/>
      <c r="B2874" s="41"/>
      <c r="C2874" s="9"/>
      <c r="D2874" s="133"/>
      <c r="E2874" s="133"/>
      <c r="F2874" s="24"/>
      <c r="G2874" s="24"/>
      <c r="I2874" s="13" t="str">
        <f>IFERROR(__xludf.DUMMYFUNCTION("if(isblank(A2874),,split(A2874,""-""))"),"")</f>
        <v/>
      </c>
      <c r="K2874" s="13" t="str">
        <f>IFERROR(__xludf.DUMMYFUNCTION("if(isblank(B2874),,split(B2874,""-""))"),"")</f>
        <v/>
      </c>
    </row>
    <row r="2875">
      <c r="A2875" s="132"/>
      <c r="B2875" s="41"/>
      <c r="C2875" s="9"/>
      <c r="D2875" s="133"/>
      <c r="E2875" s="133"/>
      <c r="F2875" s="24"/>
      <c r="G2875" s="24"/>
      <c r="I2875" s="13" t="str">
        <f>IFERROR(__xludf.DUMMYFUNCTION("if(isblank(A2875),,split(A2875,""-""))"),"")</f>
        <v/>
      </c>
      <c r="K2875" s="13" t="str">
        <f>IFERROR(__xludf.DUMMYFUNCTION("if(isblank(B2875),,split(B2875,""-""))"),"")</f>
        <v/>
      </c>
    </row>
    <row r="2876">
      <c r="A2876" s="132"/>
      <c r="B2876" s="41"/>
      <c r="C2876" s="9"/>
      <c r="D2876" s="133"/>
      <c r="E2876" s="133"/>
      <c r="F2876" s="24"/>
      <c r="G2876" s="24"/>
      <c r="I2876" s="13" t="str">
        <f>IFERROR(__xludf.DUMMYFUNCTION("if(isblank(A2876),,split(A2876,""-""))"),"")</f>
        <v/>
      </c>
      <c r="K2876" s="13" t="str">
        <f>IFERROR(__xludf.DUMMYFUNCTION("if(isblank(B2876),,split(B2876,""-""))"),"")</f>
        <v/>
      </c>
    </row>
    <row r="2877">
      <c r="A2877" s="132"/>
      <c r="B2877" s="41"/>
      <c r="C2877" s="9"/>
      <c r="D2877" s="133"/>
      <c r="E2877" s="133"/>
      <c r="F2877" s="24"/>
      <c r="G2877" s="24"/>
      <c r="I2877" s="13" t="str">
        <f>IFERROR(__xludf.DUMMYFUNCTION("if(isblank(A2877),,split(A2877,""-""))"),"")</f>
        <v/>
      </c>
      <c r="K2877" s="13" t="str">
        <f>IFERROR(__xludf.DUMMYFUNCTION("if(isblank(B2877),,split(B2877,""-""))"),"")</f>
        <v/>
      </c>
    </row>
    <row r="2878">
      <c r="A2878" s="132"/>
      <c r="B2878" s="41"/>
      <c r="C2878" s="9"/>
      <c r="D2878" s="133"/>
      <c r="E2878" s="133"/>
      <c r="F2878" s="24"/>
      <c r="G2878" s="24"/>
      <c r="I2878" s="13" t="str">
        <f>IFERROR(__xludf.DUMMYFUNCTION("if(isblank(A2878),,split(A2878,""-""))"),"")</f>
        <v/>
      </c>
      <c r="K2878" s="13" t="str">
        <f>IFERROR(__xludf.DUMMYFUNCTION("if(isblank(B2878),,split(B2878,""-""))"),"")</f>
        <v/>
      </c>
    </row>
    <row r="2879">
      <c r="A2879" s="132"/>
      <c r="B2879" s="41"/>
      <c r="C2879" s="9"/>
      <c r="D2879" s="133"/>
      <c r="E2879" s="133"/>
      <c r="F2879" s="24"/>
      <c r="G2879" s="24"/>
      <c r="I2879" s="13" t="str">
        <f>IFERROR(__xludf.DUMMYFUNCTION("if(isblank(A2879),,split(A2879,""-""))"),"")</f>
        <v/>
      </c>
      <c r="K2879" s="13" t="str">
        <f>IFERROR(__xludf.DUMMYFUNCTION("if(isblank(B2879),,split(B2879,""-""))"),"")</f>
        <v/>
      </c>
    </row>
    <row r="2880">
      <c r="A2880" s="132"/>
      <c r="B2880" s="41"/>
      <c r="C2880" s="9"/>
      <c r="D2880" s="133"/>
      <c r="E2880" s="133"/>
      <c r="F2880" s="24"/>
      <c r="G2880" s="24"/>
      <c r="I2880" s="13" t="str">
        <f>IFERROR(__xludf.DUMMYFUNCTION("if(isblank(A2880),,split(A2880,""-""))"),"")</f>
        <v/>
      </c>
      <c r="K2880" s="13" t="str">
        <f>IFERROR(__xludf.DUMMYFUNCTION("if(isblank(B2880),,split(B2880,""-""))"),"")</f>
        <v/>
      </c>
    </row>
    <row r="2881">
      <c r="A2881" s="132"/>
      <c r="B2881" s="41"/>
      <c r="C2881" s="9"/>
      <c r="D2881" s="133"/>
      <c r="E2881" s="133"/>
      <c r="F2881" s="24"/>
      <c r="G2881" s="24"/>
      <c r="I2881" s="13" t="str">
        <f>IFERROR(__xludf.DUMMYFUNCTION("if(isblank(A2881),,split(A2881,""-""))"),"")</f>
        <v/>
      </c>
      <c r="K2881" s="13" t="str">
        <f>IFERROR(__xludf.DUMMYFUNCTION("if(isblank(B2881),,split(B2881,""-""))"),"")</f>
        <v/>
      </c>
    </row>
    <row r="2882">
      <c r="A2882" s="132"/>
      <c r="B2882" s="41"/>
      <c r="C2882" s="9"/>
      <c r="D2882" s="133"/>
      <c r="E2882" s="133"/>
      <c r="F2882" s="24"/>
      <c r="G2882" s="24"/>
      <c r="I2882" s="13" t="str">
        <f>IFERROR(__xludf.DUMMYFUNCTION("if(isblank(A2882),,split(A2882,""-""))"),"")</f>
        <v/>
      </c>
      <c r="K2882" s="13" t="str">
        <f>IFERROR(__xludf.DUMMYFUNCTION("if(isblank(B2882),,split(B2882,""-""))"),"")</f>
        <v/>
      </c>
    </row>
    <row r="2883">
      <c r="A2883" s="132"/>
      <c r="B2883" s="41"/>
      <c r="C2883" s="9"/>
      <c r="D2883" s="133"/>
      <c r="E2883" s="133"/>
      <c r="F2883" s="24"/>
      <c r="G2883" s="24"/>
      <c r="I2883" s="13" t="str">
        <f>IFERROR(__xludf.DUMMYFUNCTION("if(isblank(A2883),,split(A2883,""-""))"),"")</f>
        <v/>
      </c>
      <c r="K2883" s="13" t="str">
        <f>IFERROR(__xludf.DUMMYFUNCTION("if(isblank(B2883),,split(B2883,""-""))"),"")</f>
        <v/>
      </c>
    </row>
    <row r="2884">
      <c r="A2884" s="132"/>
      <c r="B2884" s="41"/>
      <c r="C2884" s="9"/>
      <c r="D2884" s="133"/>
      <c r="E2884" s="133"/>
      <c r="F2884" s="24"/>
      <c r="G2884" s="24"/>
      <c r="I2884" s="13" t="str">
        <f>IFERROR(__xludf.DUMMYFUNCTION("if(isblank(A2884),,split(A2884,""-""))"),"")</f>
        <v/>
      </c>
      <c r="K2884" s="13" t="str">
        <f>IFERROR(__xludf.DUMMYFUNCTION("if(isblank(B2884),,split(B2884,""-""))"),"")</f>
        <v/>
      </c>
    </row>
    <row r="2885">
      <c r="A2885" s="132"/>
      <c r="B2885" s="41"/>
      <c r="C2885" s="9"/>
      <c r="D2885" s="133"/>
      <c r="E2885" s="133"/>
      <c r="F2885" s="24"/>
      <c r="G2885" s="24"/>
      <c r="I2885" s="13" t="str">
        <f>IFERROR(__xludf.DUMMYFUNCTION("if(isblank(A2885),,split(A2885,""-""))"),"")</f>
        <v/>
      </c>
      <c r="K2885" s="13" t="str">
        <f>IFERROR(__xludf.DUMMYFUNCTION("if(isblank(B2885),,split(B2885,""-""))"),"")</f>
        <v/>
      </c>
    </row>
    <row r="2886">
      <c r="A2886" s="132"/>
      <c r="B2886" s="41"/>
      <c r="C2886" s="9"/>
      <c r="D2886" s="133"/>
      <c r="E2886" s="133"/>
      <c r="F2886" s="24"/>
      <c r="G2886" s="24"/>
      <c r="I2886" s="13" t="str">
        <f>IFERROR(__xludf.DUMMYFUNCTION("if(isblank(A2886),,split(A2886,""-""))"),"")</f>
        <v/>
      </c>
      <c r="K2886" s="13" t="str">
        <f>IFERROR(__xludf.DUMMYFUNCTION("if(isblank(B2886),,split(B2886,""-""))"),"")</f>
        <v/>
      </c>
    </row>
    <row r="2887">
      <c r="A2887" s="132"/>
      <c r="B2887" s="41"/>
      <c r="C2887" s="9"/>
      <c r="D2887" s="133"/>
      <c r="E2887" s="133"/>
      <c r="F2887" s="24"/>
      <c r="G2887" s="24"/>
      <c r="I2887" s="13" t="str">
        <f>IFERROR(__xludf.DUMMYFUNCTION("if(isblank(A2887),,split(A2887,""-""))"),"")</f>
        <v/>
      </c>
      <c r="K2887" s="13" t="str">
        <f>IFERROR(__xludf.DUMMYFUNCTION("if(isblank(B2887),,split(B2887,""-""))"),"")</f>
        <v/>
      </c>
    </row>
    <row r="2888">
      <c r="A2888" s="132"/>
      <c r="B2888" s="41"/>
      <c r="C2888" s="9"/>
      <c r="D2888" s="133"/>
      <c r="E2888" s="133"/>
      <c r="F2888" s="24"/>
      <c r="G2888" s="24"/>
      <c r="I2888" s="13" t="str">
        <f>IFERROR(__xludf.DUMMYFUNCTION("if(isblank(A2888),,split(A2888,""-""))"),"")</f>
        <v/>
      </c>
      <c r="K2888" s="13" t="str">
        <f>IFERROR(__xludf.DUMMYFUNCTION("if(isblank(B2888),,split(B2888,""-""))"),"")</f>
        <v/>
      </c>
    </row>
    <row r="2889">
      <c r="A2889" s="132"/>
      <c r="B2889" s="41"/>
      <c r="C2889" s="9"/>
      <c r="D2889" s="133"/>
      <c r="E2889" s="133"/>
      <c r="F2889" s="24"/>
      <c r="G2889" s="24"/>
      <c r="I2889" s="13" t="str">
        <f>IFERROR(__xludf.DUMMYFUNCTION("if(isblank(A2889),,split(A2889,""-""))"),"")</f>
        <v/>
      </c>
      <c r="K2889" s="13" t="str">
        <f>IFERROR(__xludf.DUMMYFUNCTION("if(isblank(B2889),,split(B2889,""-""))"),"")</f>
        <v/>
      </c>
    </row>
    <row r="2890">
      <c r="A2890" s="132"/>
      <c r="B2890" s="41"/>
      <c r="C2890" s="9"/>
      <c r="D2890" s="133"/>
      <c r="E2890" s="133"/>
      <c r="F2890" s="24"/>
      <c r="G2890" s="24"/>
      <c r="I2890" s="13" t="str">
        <f>IFERROR(__xludf.DUMMYFUNCTION("if(isblank(A2890),,split(A2890,""-""))"),"")</f>
        <v/>
      </c>
      <c r="K2890" s="13" t="str">
        <f>IFERROR(__xludf.DUMMYFUNCTION("if(isblank(B2890),,split(B2890,""-""))"),"")</f>
        <v/>
      </c>
    </row>
    <row r="2891">
      <c r="A2891" s="132"/>
      <c r="B2891" s="41"/>
      <c r="C2891" s="9"/>
      <c r="D2891" s="133"/>
      <c r="E2891" s="133"/>
      <c r="F2891" s="24"/>
      <c r="G2891" s="24"/>
      <c r="I2891" s="13" t="str">
        <f>IFERROR(__xludf.DUMMYFUNCTION("if(isblank(A2891),,split(A2891,""-""))"),"")</f>
        <v/>
      </c>
      <c r="K2891" s="13" t="str">
        <f>IFERROR(__xludf.DUMMYFUNCTION("if(isblank(B2891),,split(B2891,""-""))"),"")</f>
        <v/>
      </c>
    </row>
    <row r="2892">
      <c r="A2892" s="132"/>
      <c r="B2892" s="41"/>
      <c r="C2892" s="9"/>
      <c r="D2892" s="133"/>
      <c r="E2892" s="133"/>
      <c r="F2892" s="24"/>
      <c r="G2892" s="24"/>
      <c r="I2892" s="13" t="str">
        <f>IFERROR(__xludf.DUMMYFUNCTION("if(isblank(A2892),,split(A2892,""-""))"),"")</f>
        <v/>
      </c>
      <c r="K2892" s="13" t="str">
        <f>IFERROR(__xludf.DUMMYFUNCTION("if(isblank(B2892),,split(B2892,""-""))"),"")</f>
        <v/>
      </c>
    </row>
    <row r="2893">
      <c r="A2893" s="132"/>
      <c r="B2893" s="41"/>
      <c r="C2893" s="9"/>
      <c r="D2893" s="133"/>
      <c r="E2893" s="133"/>
      <c r="F2893" s="24"/>
      <c r="G2893" s="24"/>
      <c r="I2893" s="13" t="str">
        <f>IFERROR(__xludf.DUMMYFUNCTION("if(isblank(A2893),,split(A2893,""-""))"),"")</f>
        <v/>
      </c>
      <c r="K2893" s="13" t="str">
        <f>IFERROR(__xludf.DUMMYFUNCTION("if(isblank(B2893),,split(B2893,""-""))"),"")</f>
        <v/>
      </c>
    </row>
    <row r="2894">
      <c r="A2894" s="132"/>
      <c r="B2894" s="41"/>
      <c r="C2894" s="9"/>
      <c r="D2894" s="133"/>
      <c r="E2894" s="133"/>
      <c r="F2894" s="24"/>
      <c r="G2894" s="24"/>
      <c r="I2894" s="13" t="str">
        <f>IFERROR(__xludf.DUMMYFUNCTION("if(isblank(A2894),,split(A2894,""-""))"),"")</f>
        <v/>
      </c>
      <c r="K2894" s="13" t="str">
        <f>IFERROR(__xludf.DUMMYFUNCTION("if(isblank(B2894),,split(B2894,""-""))"),"")</f>
        <v/>
      </c>
    </row>
    <row r="2895">
      <c r="A2895" s="132"/>
      <c r="B2895" s="41"/>
      <c r="C2895" s="9"/>
      <c r="D2895" s="133"/>
      <c r="E2895" s="133"/>
      <c r="F2895" s="24"/>
      <c r="G2895" s="24"/>
      <c r="I2895" s="13" t="str">
        <f>IFERROR(__xludf.DUMMYFUNCTION("if(isblank(A2895),,split(A2895,""-""))"),"")</f>
        <v/>
      </c>
      <c r="K2895" s="13" t="str">
        <f>IFERROR(__xludf.DUMMYFUNCTION("if(isblank(B2895),,split(B2895,""-""))"),"")</f>
        <v/>
      </c>
    </row>
    <row r="2896">
      <c r="A2896" s="132"/>
      <c r="B2896" s="41"/>
      <c r="C2896" s="9"/>
      <c r="D2896" s="133"/>
      <c r="E2896" s="133"/>
      <c r="F2896" s="24"/>
      <c r="G2896" s="24"/>
      <c r="I2896" s="13" t="str">
        <f>IFERROR(__xludf.DUMMYFUNCTION("if(isblank(A2896),,split(A2896,""-""))"),"")</f>
        <v/>
      </c>
      <c r="K2896" s="13" t="str">
        <f>IFERROR(__xludf.DUMMYFUNCTION("if(isblank(B2896),,split(B2896,""-""))"),"")</f>
        <v/>
      </c>
    </row>
    <row r="2897">
      <c r="A2897" s="132"/>
      <c r="B2897" s="41"/>
      <c r="C2897" s="9"/>
      <c r="D2897" s="133"/>
      <c r="E2897" s="133"/>
      <c r="F2897" s="24"/>
      <c r="G2897" s="24"/>
      <c r="I2897" s="13" t="str">
        <f>IFERROR(__xludf.DUMMYFUNCTION("if(isblank(A2897),,split(A2897,""-""))"),"")</f>
        <v/>
      </c>
      <c r="K2897" s="13" t="str">
        <f>IFERROR(__xludf.DUMMYFUNCTION("if(isblank(B2897),,split(B2897,""-""))"),"")</f>
        <v/>
      </c>
    </row>
    <row r="2898">
      <c r="A2898" s="132"/>
      <c r="B2898" s="41"/>
      <c r="C2898" s="9"/>
      <c r="D2898" s="133"/>
      <c r="E2898" s="133"/>
      <c r="F2898" s="24"/>
      <c r="G2898" s="24"/>
      <c r="I2898" s="13" t="str">
        <f>IFERROR(__xludf.DUMMYFUNCTION("if(isblank(A2898),,split(A2898,""-""))"),"")</f>
        <v/>
      </c>
      <c r="K2898" s="13" t="str">
        <f>IFERROR(__xludf.DUMMYFUNCTION("if(isblank(B2898),,split(B2898,""-""))"),"")</f>
        <v/>
      </c>
    </row>
    <row r="2899">
      <c r="A2899" s="132"/>
      <c r="B2899" s="41"/>
      <c r="C2899" s="9"/>
      <c r="D2899" s="133"/>
      <c r="E2899" s="133"/>
      <c r="F2899" s="24"/>
      <c r="G2899" s="24"/>
      <c r="I2899" s="13" t="str">
        <f>IFERROR(__xludf.DUMMYFUNCTION("if(isblank(A2899),,split(A2899,""-""))"),"")</f>
        <v/>
      </c>
      <c r="K2899" s="13" t="str">
        <f>IFERROR(__xludf.DUMMYFUNCTION("if(isblank(B2899),,split(B2899,""-""))"),"")</f>
        <v/>
      </c>
    </row>
    <row r="2900">
      <c r="A2900" s="132"/>
      <c r="B2900" s="41"/>
      <c r="C2900" s="9"/>
      <c r="D2900" s="133"/>
      <c r="E2900" s="133"/>
      <c r="F2900" s="24"/>
      <c r="G2900" s="24"/>
      <c r="I2900" s="13" t="str">
        <f>IFERROR(__xludf.DUMMYFUNCTION("if(isblank(A2900),,split(A2900,""-""))"),"")</f>
        <v/>
      </c>
      <c r="K2900" s="13" t="str">
        <f>IFERROR(__xludf.DUMMYFUNCTION("if(isblank(B2900),,split(B2900,""-""))"),"")</f>
        <v/>
      </c>
    </row>
    <row r="2901">
      <c r="A2901" s="132"/>
      <c r="B2901" s="41"/>
      <c r="C2901" s="9"/>
      <c r="D2901" s="133"/>
      <c r="E2901" s="133"/>
      <c r="F2901" s="24"/>
      <c r="G2901" s="24"/>
      <c r="I2901" s="13" t="str">
        <f>IFERROR(__xludf.DUMMYFUNCTION("if(isblank(A2901),,split(A2901,""-""))"),"")</f>
        <v/>
      </c>
      <c r="K2901" s="13" t="str">
        <f>IFERROR(__xludf.DUMMYFUNCTION("if(isblank(B2901),,split(B2901,""-""))"),"")</f>
        <v/>
      </c>
    </row>
    <row r="2902">
      <c r="A2902" s="132"/>
      <c r="B2902" s="41"/>
      <c r="C2902" s="9"/>
      <c r="D2902" s="133"/>
      <c r="E2902" s="133"/>
      <c r="F2902" s="24"/>
      <c r="G2902" s="24"/>
      <c r="I2902" s="13" t="str">
        <f>IFERROR(__xludf.DUMMYFUNCTION("if(isblank(A2902),,split(A2902,""-""))"),"")</f>
        <v/>
      </c>
      <c r="K2902" s="13" t="str">
        <f>IFERROR(__xludf.DUMMYFUNCTION("if(isblank(B2902),,split(B2902,""-""))"),"")</f>
        <v/>
      </c>
    </row>
    <row r="2903">
      <c r="A2903" s="132"/>
      <c r="B2903" s="41"/>
      <c r="C2903" s="9"/>
      <c r="D2903" s="133"/>
      <c r="E2903" s="133"/>
      <c r="F2903" s="24"/>
      <c r="G2903" s="24"/>
      <c r="I2903" s="13" t="str">
        <f>IFERROR(__xludf.DUMMYFUNCTION("if(isblank(A2903),,split(A2903,""-""))"),"")</f>
        <v/>
      </c>
      <c r="K2903" s="13" t="str">
        <f>IFERROR(__xludf.DUMMYFUNCTION("if(isblank(B2903),,split(B2903,""-""))"),"")</f>
        <v/>
      </c>
    </row>
    <row r="2904">
      <c r="A2904" s="132"/>
      <c r="B2904" s="41"/>
      <c r="C2904" s="9"/>
      <c r="D2904" s="133"/>
      <c r="E2904" s="133"/>
      <c r="F2904" s="24"/>
      <c r="G2904" s="24"/>
      <c r="I2904" s="13" t="str">
        <f>IFERROR(__xludf.DUMMYFUNCTION("if(isblank(A2904),,split(A2904,""-""))"),"")</f>
        <v/>
      </c>
      <c r="K2904" s="13" t="str">
        <f>IFERROR(__xludf.DUMMYFUNCTION("if(isblank(B2904),,split(B2904,""-""))"),"")</f>
        <v/>
      </c>
    </row>
    <row r="2905">
      <c r="A2905" s="132"/>
      <c r="B2905" s="41"/>
      <c r="C2905" s="9"/>
      <c r="D2905" s="133"/>
      <c r="E2905" s="133"/>
      <c r="F2905" s="24"/>
      <c r="G2905" s="24"/>
      <c r="I2905" s="13" t="str">
        <f>IFERROR(__xludf.DUMMYFUNCTION("if(isblank(A2905),,split(A2905,""-""))"),"")</f>
        <v/>
      </c>
      <c r="K2905" s="13" t="str">
        <f>IFERROR(__xludf.DUMMYFUNCTION("if(isblank(B2905),,split(B2905,""-""))"),"")</f>
        <v/>
      </c>
    </row>
    <row r="2906">
      <c r="A2906" s="132"/>
      <c r="B2906" s="41"/>
      <c r="C2906" s="9"/>
      <c r="D2906" s="133"/>
      <c r="E2906" s="133"/>
      <c r="F2906" s="24"/>
      <c r="G2906" s="24"/>
      <c r="I2906" s="13" t="str">
        <f>IFERROR(__xludf.DUMMYFUNCTION("if(isblank(A2906),,split(A2906,""-""))"),"")</f>
        <v/>
      </c>
      <c r="K2906" s="13" t="str">
        <f>IFERROR(__xludf.DUMMYFUNCTION("if(isblank(B2906),,split(B2906,""-""))"),"")</f>
        <v/>
      </c>
    </row>
    <row r="2907">
      <c r="A2907" s="132"/>
      <c r="B2907" s="41"/>
      <c r="C2907" s="9"/>
      <c r="D2907" s="133"/>
      <c r="E2907" s="133"/>
      <c r="F2907" s="24"/>
      <c r="G2907" s="24"/>
      <c r="I2907" s="13" t="str">
        <f>IFERROR(__xludf.DUMMYFUNCTION("if(isblank(A2907),,split(A2907,""-""))"),"")</f>
        <v/>
      </c>
      <c r="K2907" s="13" t="str">
        <f>IFERROR(__xludf.DUMMYFUNCTION("if(isblank(B2907),,split(B2907,""-""))"),"")</f>
        <v/>
      </c>
    </row>
    <row r="2908">
      <c r="A2908" s="132"/>
      <c r="B2908" s="41"/>
      <c r="C2908" s="9"/>
      <c r="D2908" s="133"/>
      <c r="E2908" s="133"/>
      <c r="F2908" s="24"/>
      <c r="G2908" s="24"/>
      <c r="I2908" s="13" t="str">
        <f>IFERROR(__xludf.DUMMYFUNCTION("if(isblank(A2908),,split(A2908,""-""))"),"")</f>
        <v/>
      </c>
      <c r="K2908" s="13" t="str">
        <f>IFERROR(__xludf.DUMMYFUNCTION("if(isblank(B2908),,split(B2908,""-""))"),"")</f>
        <v/>
      </c>
    </row>
    <row r="2909">
      <c r="A2909" s="132"/>
      <c r="B2909" s="41"/>
      <c r="C2909" s="9"/>
      <c r="D2909" s="133"/>
      <c r="E2909" s="133"/>
      <c r="F2909" s="24"/>
      <c r="G2909" s="24"/>
      <c r="I2909" s="13" t="str">
        <f>IFERROR(__xludf.DUMMYFUNCTION("if(isblank(A2909),,split(A2909,""-""))"),"")</f>
        <v/>
      </c>
      <c r="K2909" s="13" t="str">
        <f>IFERROR(__xludf.DUMMYFUNCTION("if(isblank(B2909),,split(B2909,""-""))"),"")</f>
        <v/>
      </c>
    </row>
    <row r="2910">
      <c r="A2910" s="132"/>
      <c r="B2910" s="41"/>
      <c r="C2910" s="9"/>
      <c r="D2910" s="133"/>
      <c r="E2910" s="133"/>
      <c r="F2910" s="24"/>
      <c r="G2910" s="24"/>
      <c r="I2910" s="13" t="str">
        <f>IFERROR(__xludf.DUMMYFUNCTION("if(isblank(A2910),,split(A2910,""-""))"),"")</f>
        <v/>
      </c>
      <c r="K2910" s="13" t="str">
        <f>IFERROR(__xludf.DUMMYFUNCTION("if(isblank(B2910),,split(B2910,""-""))"),"")</f>
        <v/>
      </c>
    </row>
    <row r="2911">
      <c r="A2911" s="132"/>
      <c r="B2911" s="41"/>
      <c r="C2911" s="9"/>
      <c r="D2911" s="133"/>
      <c r="E2911" s="133"/>
      <c r="F2911" s="24"/>
      <c r="G2911" s="24"/>
      <c r="I2911" s="13" t="str">
        <f>IFERROR(__xludf.DUMMYFUNCTION("if(isblank(A2911),,split(A2911,""-""))"),"")</f>
        <v/>
      </c>
      <c r="K2911" s="13" t="str">
        <f>IFERROR(__xludf.DUMMYFUNCTION("if(isblank(B2911),,split(B2911,""-""))"),"")</f>
        <v/>
      </c>
    </row>
    <row r="2912">
      <c r="A2912" s="132"/>
      <c r="B2912" s="41"/>
      <c r="C2912" s="9"/>
      <c r="D2912" s="133"/>
      <c r="E2912" s="133"/>
      <c r="F2912" s="24"/>
      <c r="G2912" s="24"/>
      <c r="I2912" s="13" t="str">
        <f>IFERROR(__xludf.DUMMYFUNCTION("if(isblank(A2912),,split(A2912,""-""))"),"")</f>
        <v/>
      </c>
      <c r="K2912" s="13" t="str">
        <f>IFERROR(__xludf.DUMMYFUNCTION("if(isblank(B2912),,split(B2912,""-""))"),"")</f>
        <v/>
      </c>
    </row>
    <row r="2913">
      <c r="A2913" s="132"/>
      <c r="B2913" s="41"/>
      <c r="C2913" s="9"/>
      <c r="D2913" s="133"/>
      <c r="E2913" s="133"/>
      <c r="F2913" s="24"/>
      <c r="G2913" s="24"/>
      <c r="I2913" s="13" t="str">
        <f>IFERROR(__xludf.DUMMYFUNCTION("if(isblank(A2913),,split(A2913,""-""))"),"")</f>
        <v/>
      </c>
      <c r="K2913" s="13" t="str">
        <f>IFERROR(__xludf.DUMMYFUNCTION("if(isblank(B2913),,split(B2913,""-""))"),"")</f>
        <v/>
      </c>
    </row>
    <row r="2914">
      <c r="A2914" s="132"/>
      <c r="B2914" s="41"/>
      <c r="C2914" s="9"/>
      <c r="D2914" s="133"/>
      <c r="E2914" s="133"/>
      <c r="F2914" s="24"/>
      <c r="G2914" s="24"/>
      <c r="I2914" s="13" t="str">
        <f>IFERROR(__xludf.DUMMYFUNCTION("if(isblank(A2914),,split(A2914,""-""))"),"")</f>
        <v/>
      </c>
      <c r="K2914" s="13" t="str">
        <f>IFERROR(__xludf.DUMMYFUNCTION("if(isblank(B2914),,split(B2914,""-""))"),"")</f>
        <v/>
      </c>
    </row>
    <row r="2915">
      <c r="A2915" s="132"/>
      <c r="B2915" s="41"/>
      <c r="C2915" s="9"/>
      <c r="D2915" s="133"/>
      <c r="E2915" s="133"/>
      <c r="F2915" s="24"/>
      <c r="G2915" s="24"/>
      <c r="I2915" s="13" t="str">
        <f>IFERROR(__xludf.DUMMYFUNCTION("if(isblank(A2915),,split(A2915,""-""))"),"")</f>
        <v/>
      </c>
      <c r="K2915" s="13" t="str">
        <f>IFERROR(__xludf.DUMMYFUNCTION("if(isblank(B2915),,split(B2915,""-""))"),"")</f>
        <v/>
      </c>
    </row>
    <row r="2916">
      <c r="A2916" s="132"/>
      <c r="B2916" s="41"/>
      <c r="C2916" s="9"/>
      <c r="D2916" s="133"/>
      <c r="E2916" s="133"/>
      <c r="F2916" s="24"/>
      <c r="G2916" s="24"/>
      <c r="I2916" s="13" t="str">
        <f>IFERROR(__xludf.DUMMYFUNCTION("if(isblank(A2916),,split(A2916,""-""))"),"")</f>
        <v/>
      </c>
      <c r="K2916" s="13" t="str">
        <f>IFERROR(__xludf.DUMMYFUNCTION("if(isblank(B2916),,split(B2916,""-""))"),"")</f>
        <v/>
      </c>
    </row>
    <row r="2917">
      <c r="A2917" s="132"/>
      <c r="B2917" s="41"/>
      <c r="C2917" s="9"/>
      <c r="D2917" s="133"/>
      <c r="E2917" s="133"/>
      <c r="F2917" s="24"/>
      <c r="G2917" s="24"/>
      <c r="I2917" s="13" t="str">
        <f>IFERROR(__xludf.DUMMYFUNCTION("if(isblank(A2917),,split(A2917,""-""))"),"")</f>
        <v/>
      </c>
      <c r="K2917" s="13" t="str">
        <f>IFERROR(__xludf.DUMMYFUNCTION("if(isblank(B2917),,split(B2917,""-""))"),"")</f>
        <v/>
      </c>
    </row>
    <row r="2918">
      <c r="A2918" s="132"/>
      <c r="B2918" s="41"/>
      <c r="C2918" s="9"/>
      <c r="D2918" s="133"/>
      <c r="E2918" s="133"/>
      <c r="F2918" s="24"/>
      <c r="G2918" s="24"/>
      <c r="I2918" s="13" t="str">
        <f>IFERROR(__xludf.DUMMYFUNCTION("if(isblank(A2918),,split(A2918,""-""))"),"")</f>
        <v/>
      </c>
      <c r="K2918" s="13" t="str">
        <f>IFERROR(__xludf.DUMMYFUNCTION("if(isblank(B2918),,split(B2918,""-""))"),"")</f>
        <v/>
      </c>
    </row>
    <row r="2919">
      <c r="A2919" s="132"/>
      <c r="B2919" s="41"/>
      <c r="C2919" s="9"/>
      <c r="D2919" s="133"/>
      <c r="E2919" s="133"/>
      <c r="F2919" s="24"/>
      <c r="G2919" s="24"/>
      <c r="I2919" s="13" t="str">
        <f>IFERROR(__xludf.DUMMYFUNCTION("if(isblank(A2919),,split(A2919,""-""))"),"")</f>
        <v/>
      </c>
      <c r="K2919" s="13" t="str">
        <f>IFERROR(__xludf.DUMMYFUNCTION("if(isblank(B2919),,split(B2919,""-""))"),"")</f>
        <v/>
      </c>
    </row>
    <row r="2920">
      <c r="A2920" s="132"/>
      <c r="B2920" s="41"/>
      <c r="C2920" s="9"/>
      <c r="D2920" s="133"/>
      <c r="E2920" s="133"/>
      <c r="F2920" s="24"/>
      <c r="G2920" s="24"/>
      <c r="I2920" s="13" t="str">
        <f>IFERROR(__xludf.DUMMYFUNCTION("if(isblank(A2920),,split(A2920,""-""))"),"")</f>
        <v/>
      </c>
      <c r="K2920" s="13" t="str">
        <f>IFERROR(__xludf.DUMMYFUNCTION("if(isblank(B2920),,split(B2920,""-""))"),"")</f>
        <v/>
      </c>
    </row>
    <row r="2921">
      <c r="A2921" s="132"/>
      <c r="B2921" s="41"/>
      <c r="C2921" s="9"/>
      <c r="D2921" s="133"/>
      <c r="E2921" s="133"/>
      <c r="F2921" s="24"/>
      <c r="G2921" s="24"/>
      <c r="I2921" s="13" t="str">
        <f>IFERROR(__xludf.DUMMYFUNCTION("if(isblank(A2921),,split(A2921,""-""))"),"")</f>
        <v/>
      </c>
      <c r="K2921" s="13" t="str">
        <f>IFERROR(__xludf.DUMMYFUNCTION("if(isblank(B2921),,split(B2921,""-""))"),"")</f>
        <v/>
      </c>
    </row>
    <row r="2922">
      <c r="A2922" s="132"/>
      <c r="B2922" s="41"/>
      <c r="C2922" s="9"/>
      <c r="D2922" s="133"/>
      <c r="E2922" s="133"/>
      <c r="F2922" s="24"/>
      <c r="G2922" s="24"/>
      <c r="I2922" s="13" t="str">
        <f>IFERROR(__xludf.DUMMYFUNCTION("if(isblank(A2922),,split(A2922,""-""))"),"")</f>
        <v/>
      </c>
      <c r="K2922" s="13" t="str">
        <f>IFERROR(__xludf.DUMMYFUNCTION("if(isblank(B2922),,split(B2922,""-""))"),"")</f>
        <v/>
      </c>
    </row>
    <row r="2923">
      <c r="A2923" s="132"/>
      <c r="B2923" s="41"/>
      <c r="C2923" s="9"/>
      <c r="D2923" s="133"/>
      <c r="E2923" s="133"/>
      <c r="F2923" s="24"/>
      <c r="G2923" s="24"/>
      <c r="I2923" s="13" t="str">
        <f>IFERROR(__xludf.DUMMYFUNCTION("if(isblank(A2923),,split(A2923,""-""))"),"")</f>
        <v/>
      </c>
      <c r="K2923" s="13" t="str">
        <f>IFERROR(__xludf.DUMMYFUNCTION("if(isblank(B2923),,split(B2923,""-""))"),"")</f>
        <v/>
      </c>
    </row>
    <row r="2924">
      <c r="A2924" s="132"/>
      <c r="B2924" s="41"/>
      <c r="C2924" s="9"/>
      <c r="D2924" s="133"/>
      <c r="E2924" s="133"/>
      <c r="F2924" s="24"/>
      <c r="G2924" s="24"/>
      <c r="I2924" s="13" t="str">
        <f>IFERROR(__xludf.DUMMYFUNCTION("if(isblank(A2924),,split(A2924,""-""))"),"")</f>
        <v/>
      </c>
      <c r="K2924" s="13" t="str">
        <f>IFERROR(__xludf.DUMMYFUNCTION("if(isblank(B2924),,split(B2924,""-""))"),"")</f>
        <v/>
      </c>
    </row>
    <row r="2925">
      <c r="A2925" s="132"/>
      <c r="B2925" s="41"/>
      <c r="C2925" s="9"/>
      <c r="D2925" s="133"/>
      <c r="E2925" s="133"/>
      <c r="F2925" s="24"/>
      <c r="G2925" s="24"/>
      <c r="I2925" s="13" t="str">
        <f>IFERROR(__xludf.DUMMYFUNCTION("if(isblank(A2925),,split(A2925,""-""))"),"")</f>
        <v/>
      </c>
      <c r="K2925" s="13" t="str">
        <f>IFERROR(__xludf.DUMMYFUNCTION("if(isblank(B2925),,split(B2925,""-""))"),"")</f>
        <v/>
      </c>
    </row>
    <row r="2926">
      <c r="A2926" s="132"/>
      <c r="B2926" s="41"/>
      <c r="C2926" s="9"/>
      <c r="D2926" s="133"/>
      <c r="E2926" s="133"/>
      <c r="F2926" s="24"/>
      <c r="G2926" s="24"/>
      <c r="I2926" s="13" t="str">
        <f>IFERROR(__xludf.DUMMYFUNCTION("if(isblank(A2926),,split(A2926,""-""))"),"")</f>
        <v/>
      </c>
      <c r="K2926" s="13" t="str">
        <f>IFERROR(__xludf.DUMMYFUNCTION("if(isblank(B2926),,split(B2926,""-""))"),"")</f>
        <v/>
      </c>
    </row>
    <row r="2927">
      <c r="A2927" s="132"/>
      <c r="B2927" s="41"/>
      <c r="C2927" s="9"/>
      <c r="D2927" s="133"/>
      <c r="E2927" s="133"/>
      <c r="F2927" s="24"/>
      <c r="G2927" s="24"/>
      <c r="I2927" s="13" t="str">
        <f>IFERROR(__xludf.DUMMYFUNCTION("if(isblank(A2927),,split(A2927,""-""))"),"")</f>
        <v/>
      </c>
      <c r="K2927" s="13" t="str">
        <f>IFERROR(__xludf.DUMMYFUNCTION("if(isblank(B2927),,split(B2927,""-""))"),"")</f>
        <v/>
      </c>
    </row>
    <row r="2928">
      <c r="A2928" s="132"/>
      <c r="B2928" s="41"/>
      <c r="C2928" s="9"/>
      <c r="D2928" s="133"/>
      <c r="E2928" s="133"/>
      <c r="F2928" s="24"/>
      <c r="G2928" s="24"/>
      <c r="I2928" s="13" t="str">
        <f>IFERROR(__xludf.DUMMYFUNCTION("if(isblank(A2928),,split(A2928,""-""))"),"")</f>
        <v/>
      </c>
      <c r="K2928" s="13" t="str">
        <f>IFERROR(__xludf.DUMMYFUNCTION("if(isblank(B2928),,split(B2928,""-""))"),"")</f>
        <v/>
      </c>
    </row>
    <row r="2929">
      <c r="A2929" s="132"/>
      <c r="B2929" s="41"/>
      <c r="C2929" s="9"/>
      <c r="D2929" s="133"/>
      <c r="E2929" s="133"/>
      <c r="F2929" s="24"/>
      <c r="G2929" s="24"/>
      <c r="I2929" s="13" t="str">
        <f>IFERROR(__xludf.DUMMYFUNCTION("if(isblank(A2929),,split(A2929,""-""))"),"")</f>
        <v/>
      </c>
      <c r="K2929" s="13" t="str">
        <f>IFERROR(__xludf.DUMMYFUNCTION("if(isblank(B2929),,split(B2929,""-""))"),"")</f>
        <v/>
      </c>
    </row>
    <row r="2930">
      <c r="A2930" s="132"/>
      <c r="B2930" s="41"/>
      <c r="C2930" s="9"/>
      <c r="D2930" s="133"/>
      <c r="E2930" s="133"/>
      <c r="F2930" s="24"/>
      <c r="G2930" s="24"/>
      <c r="I2930" s="13" t="str">
        <f>IFERROR(__xludf.DUMMYFUNCTION("if(isblank(A2930),,split(A2930,""-""))"),"")</f>
        <v/>
      </c>
      <c r="K2930" s="13" t="str">
        <f>IFERROR(__xludf.DUMMYFUNCTION("if(isblank(B2930),,split(B2930,""-""))"),"")</f>
        <v/>
      </c>
    </row>
    <row r="2931">
      <c r="A2931" s="132"/>
      <c r="B2931" s="41"/>
      <c r="C2931" s="9"/>
      <c r="D2931" s="133"/>
      <c r="E2931" s="133"/>
      <c r="F2931" s="24"/>
      <c r="G2931" s="24"/>
      <c r="I2931" s="13" t="str">
        <f>IFERROR(__xludf.DUMMYFUNCTION("if(isblank(A2931),,split(A2931,""-""))"),"")</f>
        <v/>
      </c>
      <c r="K2931" s="13" t="str">
        <f>IFERROR(__xludf.DUMMYFUNCTION("if(isblank(B2931),,split(B2931,""-""))"),"")</f>
        <v/>
      </c>
    </row>
    <row r="2932">
      <c r="A2932" s="132"/>
      <c r="B2932" s="41"/>
      <c r="C2932" s="9"/>
      <c r="D2932" s="133"/>
      <c r="E2932" s="133"/>
      <c r="F2932" s="24"/>
      <c r="G2932" s="24"/>
      <c r="I2932" s="13" t="str">
        <f>IFERROR(__xludf.DUMMYFUNCTION("if(isblank(A2932),,split(A2932,""-""))"),"")</f>
        <v/>
      </c>
      <c r="K2932" s="13" t="str">
        <f>IFERROR(__xludf.DUMMYFUNCTION("if(isblank(B2932),,split(B2932,""-""))"),"")</f>
        <v/>
      </c>
    </row>
    <row r="2933">
      <c r="A2933" s="132"/>
      <c r="B2933" s="41"/>
      <c r="C2933" s="9"/>
      <c r="D2933" s="133"/>
      <c r="E2933" s="133"/>
      <c r="F2933" s="24"/>
      <c r="G2933" s="24"/>
      <c r="I2933" s="13" t="str">
        <f>IFERROR(__xludf.DUMMYFUNCTION("if(isblank(A2933),,split(A2933,""-""))"),"")</f>
        <v/>
      </c>
      <c r="K2933" s="13" t="str">
        <f>IFERROR(__xludf.DUMMYFUNCTION("if(isblank(B2933),,split(B2933,""-""))"),"")</f>
        <v/>
      </c>
    </row>
    <row r="2934">
      <c r="A2934" s="132"/>
      <c r="B2934" s="41"/>
      <c r="C2934" s="9"/>
      <c r="D2934" s="133"/>
      <c r="E2934" s="133"/>
      <c r="F2934" s="24"/>
      <c r="G2934" s="24"/>
      <c r="I2934" s="13" t="str">
        <f>IFERROR(__xludf.DUMMYFUNCTION("if(isblank(A2934),,split(A2934,""-""))"),"")</f>
        <v/>
      </c>
      <c r="K2934" s="13" t="str">
        <f>IFERROR(__xludf.DUMMYFUNCTION("if(isblank(B2934),,split(B2934,""-""))"),"")</f>
        <v/>
      </c>
    </row>
    <row r="2935">
      <c r="A2935" s="132"/>
      <c r="B2935" s="41"/>
      <c r="C2935" s="9"/>
      <c r="D2935" s="133"/>
      <c r="E2935" s="133"/>
      <c r="F2935" s="24"/>
      <c r="G2935" s="24"/>
      <c r="I2935" s="13" t="str">
        <f>IFERROR(__xludf.DUMMYFUNCTION("if(isblank(A2935),,split(A2935,""-""))"),"")</f>
        <v/>
      </c>
      <c r="K2935" s="13" t="str">
        <f>IFERROR(__xludf.DUMMYFUNCTION("if(isblank(B2935),,split(B2935,""-""))"),"")</f>
        <v/>
      </c>
    </row>
    <row r="2936">
      <c r="A2936" s="132"/>
      <c r="B2936" s="41"/>
      <c r="C2936" s="9"/>
      <c r="D2936" s="133"/>
      <c r="E2936" s="133"/>
      <c r="F2936" s="24"/>
      <c r="G2936" s="24"/>
      <c r="I2936" s="13" t="str">
        <f>IFERROR(__xludf.DUMMYFUNCTION("if(isblank(A2936),,split(A2936,""-""))"),"")</f>
        <v/>
      </c>
      <c r="K2936" s="13" t="str">
        <f>IFERROR(__xludf.DUMMYFUNCTION("if(isblank(B2936),,split(B2936,""-""))"),"")</f>
        <v/>
      </c>
    </row>
    <row r="2937">
      <c r="A2937" s="132"/>
      <c r="B2937" s="41"/>
      <c r="C2937" s="9"/>
      <c r="D2937" s="133"/>
      <c r="E2937" s="133"/>
      <c r="F2937" s="24"/>
      <c r="G2937" s="24"/>
      <c r="I2937" s="13" t="str">
        <f>IFERROR(__xludf.DUMMYFUNCTION("if(isblank(A2937),,split(A2937,""-""))"),"")</f>
        <v/>
      </c>
      <c r="K2937" s="13" t="str">
        <f>IFERROR(__xludf.DUMMYFUNCTION("if(isblank(B2937),,split(B2937,""-""))"),"")</f>
        <v/>
      </c>
    </row>
    <row r="2938">
      <c r="A2938" s="132"/>
      <c r="B2938" s="41"/>
      <c r="C2938" s="9"/>
      <c r="D2938" s="133"/>
      <c r="E2938" s="133"/>
      <c r="F2938" s="24"/>
      <c r="G2938" s="24"/>
      <c r="I2938" s="13" t="str">
        <f>IFERROR(__xludf.DUMMYFUNCTION("if(isblank(A2938),,split(A2938,""-""))"),"")</f>
        <v/>
      </c>
      <c r="K2938" s="13" t="str">
        <f>IFERROR(__xludf.DUMMYFUNCTION("if(isblank(B2938),,split(B2938,""-""))"),"")</f>
        <v/>
      </c>
    </row>
    <row r="2939">
      <c r="A2939" s="132"/>
      <c r="B2939" s="41"/>
      <c r="C2939" s="9"/>
      <c r="D2939" s="133"/>
      <c r="E2939" s="133"/>
      <c r="F2939" s="24"/>
      <c r="G2939" s="24"/>
      <c r="I2939" s="13" t="str">
        <f>IFERROR(__xludf.DUMMYFUNCTION("if(isblank(A2939),,split(A2939,""-""))"),"")</f>
        <v/>
      </c>
      <c r="K2939" s="13" t="str">
        <f>IFERROR(__xludf.DUMMYFUNCTION("if(isblank(B2939),,split(B2939,""-""))"),"")</f>
        <v/>
      </c>
    </row>
    <row r="2940">
      <c r="A2940" s="132"/>
      <c r="B2940" s="41"/>
      <c r="C2940" s="9"/>
      <c r="D2940" s="133"/>
      <c r="E2940" s="133"/>
      <c r="F2940" s="24"/>
      <c r="G2940" s="24"/>
      <c r="I2940" s="13" t="str">
        <f>IFERROR(__xludf.DUMMYFUNCTION("if(isblank(A2940),,split(A2940,""-""))"),"")</f>
        <v/>
      </c>
      <c r="K2940" s="13" t="str">
        <f>IFERROR(__xludf.DUMMYFUNCTION("if(isblank(B2940),,split(B2940,""-""))"),"")</f>
        <v/>
      </c>
    </row>
    <row r="2941">
      <c r="A2941" s="132"/>
      <c r="B2941" s="41"/>
      <c r="C2941" s="9"/>
      <c r="D2941" s="133"/>
      <c r="E2941" s="133"/>
      <c r="F2941" s="24"/>
      <c r="G2941" s="24"/>
      <c r="I2941" s="13" t="str">
        <f>IFERROR(__xludf.DUMMYFUNCTION("if(isblank(A2941),,split(A2941,""-""))"),"")</f>
        <v/>
      </c>
      <c r="K2941" s="13" t="str">
        <f>IFERROR(__xludf.DUMMYFUNCTION("if(isblank(B2941),,split(B2941,""-""))"),"")</f>
        <v/>
      </c>
    </row>
    <row r="2942">
      <c r="A2942" s="132"/>
      <c r="B2942" s="41"/>
      <c r="C2942" s="9"/>
      <c r="D2942" s="133"/>
      <c r="E2942" s="133"/>
      <c r="F2942" s="24"/>
      <c r="G2942" s="24"/>
      <c r="I2942" s="13" t="str">
        <f>IFERROR(__xludf.DUMMYFUNCTION("if(isblank(A2942),,split(A2942,""-""))"),"")</f>
        <v/>
      </c>
      <c r="K2942" s="13" t="str">
        <f>IFERROR(__xludf.DUMMYFUNCTION("if(isblank(B2942),,split(B2942,""-""))"),"")</f>
        <v/>
      </c>
    </row>
    <row r="2943">
      <c r="A2943" s="132"/>
      <c r="B2943" s="41"/>
      <c r="C2943" s="9"/>
      <c r="D2943" s="133"/>
      <c r="E2943" s="133"/>
      <c r="F2943" s="24"/>
      <c r="G2943" s="24"/>
      <c r="I2943" s="13" t="str">
        <f>IFERROR(__xludf.DUMMYFUNCTION("if(isblank(A2943),,split(A2943,""-""))"),"")</f>
        <v/>
      </c>
      <c r="K2943" s="13" t="str">
        <f>IFERROR(__xludf.DUMMYFUNCTION("if(isblank(B2943),,split(B2943,""-""))"),"")</f>
        <v/>
      </c>
    </row>
    <row r="2944">
      <c r="A2944" s="132"/>
      <c r="B2944" s="41"/>
      <c r="C2944" s="9"/>
      <c r="D2944" s="133"/>
      <c r="E2944" s="133"/>
      <c r="F2944" s="24"/>
      <c r="G2944" s="24"/>
      <c r="I2944" s="13" t="str">
        <f>IFERROR(__xludf.DUMMYFUNCTION("if(isblank(A2944),,split(A2944,""-""))"),"")</f>
        <v/>
      </c>
      <c r="K2944" s="13" t="str">
        <f>IFERROR(__xludf.DUMMYFUNCTION("if(isblank(B2944),,split(B2944,""-""))"),"")</f>
        <v/>
      </c>
    </row>
    <row r="2945">
      <c r="A2945" s="132"/>
      <c r="B2945" s="41"/>
      <c r="C2945" s="9"/>
      <c r="D2945" s="133"/>
      <c r="E2945" s="133"/>
      <c r="F2945" s="24"/>
      <c r="G2945" s="24"/>
      <c r="I2945" s="13" t="str">
        <f>IFERROR(__xludf.DUMMYFUNCTION("if(isblank(A2945),,split(A2945,""-""))"),"")</f>
        <v/>
      </c>
      <c r="K2945" s="13" t="str">
        <f>IFERROR(__xludf.DUMMYFUNCTION("if(isblank(B2945),,split(B2945,""-""))"),"")</f>
        <v/>
      </c>
    </row>
    <row r="2946">
      <c r="A2946" s="132"/>
      <c r="B2946" s="41"/>
      <c r="C2946" s="9"/>
      <c r="D2946" s="133"/>
      <c r="E2946" s="133"/>
      <c r="F2946" s="24"/>
      <c r="G2946" s="24"/>
      <c r="I2946" s="13" t="str">
        <f>IFERROR(__xludf.DUMMYFUNCTION("if(isblank(A2946),,split(A2946,""-""))"),"")</f>
        <v/>
      </c>
      <c r="K2946" s="13" t="str">
        <f>IFERROR(__xludf.DUMMYFUNCTION("if(isblank(B2946),,split(B2946,""-""))"),"")</f>
        <v/>
      </c>
    </row>
    <row r="2947">
      <c r="A2947" s="132"/>
      <c r="B2947" s="41"/>
      <c r="C2947" s="9"/>
      <c r="D2947" s="133"/>
      <c r="E2947" s="133"/>
      <c r="F2947" s="24"/>
      <c r="G2947" s="24"/>
      <c r="I2947" s="13" t="str">
        <f>IFERROR(__xludf.DUMMYFUNCTION("if(isblank(A2947),,split(A2947,""-""))"),"")</f>
        <v/>
      </c>
      <c r="K2947" s="13" t="str">
        <f>IFERROR(__xludf.DUMMYFUNCTION("if(isblank(B2947),,split(B2947,""-""))"),"")</f>
        <v/>
      </c>
    </row>
    <row r="2948">
      <c r="A2948" s="132"/>
      <c r="B2948" s="41"/>
      <c r="C2948" s="9"/>
      <c r="D2948" s="133"/>
      <c r="E2948" s="133"/>
      <c r="F2948" s="24"/>
      <c r="G2948" s="24"/>
      <c r="I2948" s="13" t="str">
        <f>IFERROR(__xludf.DUMMYFUNCTION("if(isblank(A2948),,split(A2948,""-""))"),"")</f>
        <v/>
      </c>
      <c r="K2948" s="13" t="str">
        <f>IFERROR(__xludf.DUMMYFUNCTION("if(isblank(B2948),,split(B2948,""-""))"),"")</f>
        <v/>
      </c>
    </row>
    <row r="2949">
      <c r="A2949" s="132"/>
      <c r="B2949" s="41"/>
      <c r="C2949" s="9"/>
      <c r="D2949" s="133"/>
      <c r="E2949" s="133"/>
      <c r="F2949" s="24"/>
      <c r="G2949" s="24"/>
      <c r="I2949" s="13" t="str">
        <f>IFERROR(__xludf.DUMMYFUNCTION("if(isblank(A2949),,split(A2949,""-""))"),"")</f>
        <v/>
      </c>
      <c r="K2949" s="13" t="str">
        <f>IFERROR(__xludf.DUMMYFUNCTION("if(isblank(B2949),,split(B2949,""-""))"),"")</f>
        <v/>
      </c>
    </row>
    <row r="2950">
      <c r="A2950" s="132"/>
      <c r="B2950" s="41"/>
      <c r="C2950" s="9"/>
      <c r="D2950" s="133"/>
      <c r="E2950" s="133"/>
      <c r="F2950" s="24"/>
      <c r="G2950" s="24"/>
      <c r="I2950" s="13" t="str">
        <f>IFERROR(__xludf.DUMMYFUNCTION("if(isblank(A2950),,split(A2950,""-""))"),"")</f>
        <v/>
      </c>
      <c r="K2950" s="13" t="str">
        <f>IFERROR(__xludf.DUMMYFUNCTION("if(isblank(B2950),,split(B2950,""-""))"),"")</f>
        <v/>
      </c>
    </row>
    <row r="2951">
      <c r="A2951" s="132"/>
      <c r="B2951" s="41"/>
      <c r="C2951" s="9"/>
      <c r="D2951" s="133"/>
      <c r="E2951" s="133"/>
      <c r="F2951" s="24"/>
      <c r="G2951" s="24"/>
      <c r="I2951" s="13" t="str">
        <f>IFERROR(__xludf.DUMMYFUNCTION("if(isblank(A2951),,split(A2951,""-""))"),"")</f>
        <v/>
      </c>
      <c r="K2951" s="13" t="str">
        <f>IFERROR(__xludf.DUMMYFUNCTION("if(isblank(B2951),,split(B2951,""-""))"),"")</f>
        <v/>
      </c>
    </row>
    <row r="2952">
      <c r="A2952" s="132"/>
      <c r="B2952" s="41"/>
      <c r="C2952" s="9"/>
      <c r="D2952" s="133"/>
      <c r="E2952" s="133"/>
      <c r="F2952" s="24"/>
      <c r="G2952" s="24"/>
      <c r="I2952" s="13" t="str">
        <f>IFERROR(__xludf.DUMMYFUNCTION("if(isblank(A2952),,split(A2952,""-""))"),"")</f>
        <v/>
      </c>
      <c r="K2952" s="13" t="str">
        <f>IFERROR(__xludf.DUMMYFUNCTION("if(isblank(B2952),,split(B2952,""-""))"),"")</f>
        <v/>
      </c>
    </row>
    <row r="2953">
      <c r="A2953" s="132"/>
      <c r="B2953" s="41"/>
      <c r="C2953" s="9"/>
      <c r="D2953" s="133"/>
      <c r="E2953" s="133"/>
      <c r="F2953" s="24"/>
      <c r="G2953" s="24"/>
      <c r="I2953" s="13" t="str">
        <f>IFERROR(__xludf.DUMMYFUNCTION("if(isblank(A2953),,split(A2953,""-""))"),"")</f>
        <v/>
      </c>
      <c r="K2953" s="13" t="str">
        <f>IFERROR(__xludf.DUMMYFUNCTION("if(isblank(B2953),,split(B2953,""-""))"),"")</f>
        <v/>
      </c>
    </row>
    <row r="2954">
      <c r="A2954" s="132"/>
      <c r="B2954" s="41"/>
      <c r="C2954" s="9"/>
      <c r="D2954" s="133"/>
      <c r="E2954" s="133"/>
      <c r="F2954" s="24"/>
      <c r="G2954" s="24"/>
      <c r="I2954" s="13" t="str">
        <f>IFERROR(__xludf.DUMMYFUNCTION("if(isblank(A2954),,split(A2954,""-""))"),"")</f>
        <v/>
      </c>
      <c r="K2954" s="13" t="str">
        <f>IFERROR(__xludf.DUMMYFUNCTION("if(isblank(B2954),,split(B2954,""-""))"),"")</f>
        <v/>
      </c>
    </row>
    <row r="2955">
      <c r="A2955" s="132"/>
      <c r="B2955" s="41"/>
      <c r="C2955" s="9"/>
      <c r="D2955" s="133"/>
      <c r="E2955" s="133"/>
      <c r="F2955" s="24"/>
      <c r="G2955" s="24"/>
      <c r="I2955" s="13" t="str">
        <f>IFERROR(__xludf.DUMMYFUNCTION("if(isblank(A2955),,split(A2955,""-""))"),"")</f>
        <v/>
      </c>
      <c r="K2955" s="13" t="str">
        <f>IFERROR(__xludf.DUMMYFUNCTION("if(isblank(B2955),,split(B2955,""-""))"),"")</f>
        <v/>
      </c>
    </row>
    <row r="2956">
      <c r="A2956" s="132"/>
      <c r="B2956" s="41"/>
      <c r="C2956" s="9"/>
      <c r="D2956" s="133"/>
      <c r="E2956" s="133"/>
      <c r="F2956" s="24"/>
      <c r="G2956" s="24"/>
      <c r="I2956" s="13" t="str">
        <f>IFERROR(__xludf.DUMMYFUNCTION("if(isblank(A2956),,split(A2956,""-""))"),"")</f>
        <v/>
      </c>
      <c r="K2956" s="13" t="str">
        <f>IFERROR(__xludf.DUMMYFUNCTION("if(isblank(B2956),,split(B2956,""-""))"),"")</f>
        <v/>
      </c>
    </row>
    <row r="2957">
      <c r="A2957" s="132"/>
      <c r="B2957" s="41"/>
      <c r="C2957" s="9"/>
      <c r="D2957" s="133"/>
      <c r="E2957" s="133"/>
      <c r="F2957" s="24"/>
      <c r="G2957" s="24"/>
      <c r="I2957" s="13" t="str">
        <f>IFERROR(__xludf.DUMMYFUNCTION("if(isblank(A2957),,split(A2957,""-""))"),"")</f>
        <v/>
      </c>
      <c r="K2957" s="13" t="str">
        <f>IFERROR(__xludf.DUMMYFUNCTION("if(isblank(B2957),,split(B2957,""-""))"),"")</f>
        <v/>
      </c>
    </row>
    <row r="2958">
      <c r="A2958" s="132"/>
      <c r="B2958" s="41"/>
      <c r="C2958" s="9"/>
      <c r="D2958" s="133"/>
      <c r="E2958" s="133"/>
      <c r="F2958" s="24"/>
      <c r="G2958" s="24"/>
      <c r="I2958" s="13" t="str">
        <f>IFERROR(__xludf.DUMMYFUNCTION("if(isblank(A2958),,split(A2958,""-""))"),"")</f>
        <v/>
      </c>
      <c r="K2958" s="13" t="str">
        <f>IFERROR(__xludf.DUMMYFUNCTION("if(isblank(B2958),,split(B2958,""-""))"),"")</f>
        <v/>
      </c>
    </row>
    <row r="2959">
      <c r="A2959" s="132"/>
      <c r="B2959" s="41"/>
      <c r="C2959" s="9"/>
      <c r="D2959" s="133"/>
      <c r="E2959" s="133"/>
      <c r="F2959" s="24"/>
      <c r="G2959" s="24"/>
      <c r="I2959" s="13" t="str">
        <f>IFERROR(__xludf.DUMMYFUNCTION("if(isblank(A2959),,split(A2959,""-""))"),"")</f>
        <v/>
      </c>
      <c r="K2959" s="13" t="str">
        <f>IFERROR(__xludf.DUMMYFUNCTION("if(isblank(B2959),,split(B2959,""-""))"),"")</f>
        <v/>
      </c>
    </row>
    <row r="2960">
      <c r="A2960" s="132"/>
      <c r="B2960" s="41"/>
      <c r="C2960" s="9"/>
      <c r="D2960" s="133"/>
      <c r="E2960" s="133"/>
      <c r="F2960" s="24"/>
      <c r="G2960" s="24"/>
      <c r="I2960" s="13" t="str">
        <f>IFERROR(__xludf.DUMMYFUNCTION("if(isblank(A2960),,split(A2960,""-""))"),"")</f>
        <v/>
      </c>
      <c r="K2960" s="13" t="str">
        <f>IFERROR(__xludf.DUMMYFUNCTION("if(isblank(B2960),,split(B2960,""-""))"),"")</f>
        <v/>
      </c>
    </row>
    <row r="2961">
      <c r="A2961" s="132"/>
      <c r="B2961" s="41"/>
      <c r="C2961" s="9"/>
      <c r="D2961" s="133"/>
      <c r="E2961" s="133"/>
      <c r="F2961" s="24"/>
      <c r="G2961" s="24"/>
      <c r="I2961" s="13" t="str">
        <f>IFERROR(__xludf.DUMMYFUNCTION("if(isblank(A2961),,split(A2961,""-""))"),"")</f>
        <v/>
      </c>
      <c r="K2961" s="13" t="str">
        <f>IFERROR(__xludf.DUMMYFUNCTION("if(isblank(B2961),,split(B2961,""-""))"),"")</f>
        <v/>
      </c>
    </row>
    <row r="2962">
      <c r="A2962" s="132"/>
      <c r="B2962" s="41"/>
      <c r="C2962" s="9"/>
      <c r="D2962" s="133"/>
      <c r="E2962" s="133"/>
      <c r="F2962" s="24"/>
      <c r="G2962" s="24"/>
      <c r="I2962" s="13" t="str">
        <f>IFERROR(__xludf.DUMMYFUNCTION("if(isblank(A2962),,split(A2962,""-""))"),"")</f>
        <v/>
      </c>
      <c r="K2962" s="13" t="str">
        <f>IFERROR(__xludf.DUMMYFUNCTION("if(isblank(B2962),,split(B2962,""-""))"),"")</f>
        <v/>
      </c>
    </row>
    <row r="2963">
      <c r="A2963" s="132"/>
      <c r="B2963" s="41"/>
      <c r="C2963" s="9"/>
      <c r="D2963" s="133"/>
      <c r="E2963" s="133"/>
      <c r="F2963" s="24"/>
      <c r="G2963" s="24"/>
      <c r="I2963" s="13" t="str">
        <f>IFERROR(__xludf.DUMMYFUNCTION("if(isblank(A2963),,split(A2963,""-""))"),"")</f>
        <v/>
      </c>
      <c r="K2963" s="13" t="str">
        <f>IFERROR(__xludf.DUMMYFUNCTION("if(isblank(B2963),,split(B2963,""-""))"),"")</f>
        <v/>
      </c>
    </row>
    <row r="2964">
      <c r="A2964" s="132"/>
      <c r="B2964" s="41"/>
      <c r="C2964" s="9"/>
      <c r="D2964" s="133"/>
      <c r="E2964" s="133"/>
      <c r="F2964" s="24"/>
      <c r="G2964" s="24"/>
      <c r="I2964" s="13" t="str">
        <f>IFERROR(__xludf.DUMMYFUNCTION("if(isblank(A2964),,split(A2964,""-""))"),"")</f>
        <v/>
      </c>
      <c r="K2964" s="13" t="str">
        <f>IFERROR(__xludf.DUMMYFUNCTION("if(isblank(B2964),,split(B2964,""-""))"),"")</f>
        <v/>
      </c>
    </row>
    <row r="2965">
      <c r="A2965" s="132"/>
      <c r="B2965" s="41"/>
      <c r="C2965" s="9"/>
      <c r="D2965" s="133"/>
      <c r="E2965" s="133"/>
      <c r="F2965" s="24"/>
      <c r="G2965" s="24"/>
      <c r="I2965" s="13" t="str">
        <f>IFERROR(__xludf.DUMMYFUNCTION("if(isblank(A2965),,split(A2965,""-""))"),"")</f>
        <v/>
      </c>
      <c r="K2965" s="13" t="str">
        <f>IFERROR(__xludf.DUMMYFUNCTION("if(isblank(B2965),,split(B2965,""-""))"),"")</f>
        <v/>
      </c>
    </row>
    <row r="2966">
      <c r="A2966" s="132"/>
      <c r="B2966" s="41"/>
      <c r="C2966" s="9"/>
      <c r="D2966" s="133"/>
      <c r="E2966" s="133"/>
      <c r="F2966" s="24"/>
      <c r="G2966" s="24"/>
      <c r="I2966" s="13" t="str">
        <f>IFERROR(__xludf.DUMMYFUNCTION("if(isblank(A2966),,split(A2966,""-""))"),"")</f>
        <v/>
      </c>
      <c r="K2966" s="13" t="str">
        <f>IFERROR(__xludf.DUMMYFUNCTION("if(isblank(B2966),,split(B2966,""-""))"),"")</f>
        <v/>
      </c>
    </row>
    <row r="2967">
      <c r="A2967" s="132"/>
      <c r="B2967" s="41"/>
      <c r="C2967" s="9"/>
      <c r="D2967" s="133"/>
      <c r="E2967" s="133"/>
      <c r="F2967" s="24"/>
      <c r="G2967" s="24"/>
      <c r="I2967" s="13" t="str">
        <f>IFERROR(__xludf.DUMMYFUNCTION("if(isblank(A2967),,split(A2967,""-""))"),"")</f>
        <v/>
      </c>
      <c r="K2967" s="13" t="str">
        <f>IFERROR(__xludf.DUMMYFUNCTION("if(isblank(B2967),,split(B2967,""-""))"),"")</f>
        <v/>
      </c>
    </row>
    <row r="2968">
      <c r="A2968" s="132"/>
      <c r="B2968" s="41"/>
      <c r="C2968" s="9"/>
      <c r="D2968" s="133"/>
      <c r="E2968" s="133"/>
      <c r="F2968" s="24"/>
      <c r="G2968" s="24"/>
      <c r="I2968" s="13" t="str">
        <f>IFERROR(__xludf.DUMMYFUNCTION("if(isblank(A2968),,split(A2968,""-""))"),"")</f>
        <v/>
      </c>
      <c r="K2968" s="13" t="str">
        <f>IFERROR(__xludf.DUMMYFUNCTION("if(isblank(B2968),,split(B2968,""-""))"),"")</f>
        <v/>
      </c>
    </row>
    <row r="2969">
      <c r="A2969" s="132"/>
      <c r="B2969" s="41"/>
      <c r="C2969" s="9"/>
      <c r="D2969" s="133"/>
      <c r="E2969" s="133"/>
      <c r="F2969" s="24"/>
      <c r="G2969" s="24"/>
      <c r="I2969" s="13" t="str">
        <f>IFERROR(__xludf.DUMMYFUNCTION("if(isblank(A2969),,split(A2969,""-""))"),"")</f>
        <v/>
      </c>
      <c r="K2969" s="13" t="str">
        <f>IFERROR(__xludf.DUMMYFUNCTION("if(isblank(B2969),,split(B2969,""-""))"),"")</f>
        <v/>
      </c>
    </row>
    <row r="2970">
      <c r="A2970" s="132"/>
      <c r="B2970" s="41"/>
      <c r="C2970" s="9"/>
      <c r="D2970" s="133"/>
      <c r="E2970" s="133"/>
      <c r="F2970" s="24"/>
      <c r="G2970" s="24"/>
      <c r="I2970" s="13" t="str">
        <f>IFERROR(__xludf.DUMMYFUNCTION("if(isblank(A2970),,split(A2970,""-""))"),"")</f>
        <v/>
      </c>
      <c r="K2970" s="13" t="str">
        <f>IFERROR(__xludf.DUMMYFUNCTION("if(isblank(B2970),,split(B2970,""-""))"),"")</f>
        <v/>
      </c>
    </row>
    <row r="2971">
      <c r="A2971" s="132"/>
      <c r="B2971" s="41"/>
      <c r="C2971" s="9"/>
      <c r="D2971" s="133"/>
      <c r="E2971" s="133"/>
      <c r="F2971" s="24"/>
      <c r="G2971" s="24"/>
      <c r="I2971" s="13" t="str">
        <f>IFERROR(__xludf.DUMMYFUNCTION("if(isblank(A2971),,split(A2971,""-""))"),"")</f>
        <v/>
      </c>
      <c r="K2971" s="13" t="str">
        <f>IFERROR(__xludf.DUMMYFUNCTION("if(isblank(B2971),,split(B2971,""-""))"),"")</f>
        <v/>
      </c>
    </row>
    <row r="2972">
      <c r="A2972" s="132"/>
      <c r="B2972" s="41"/>
      <c r="C2972" s="9"/>
      <c r="D2972" s="133"/>
      <c r="E2972" s="133"/>
      <c r="F2972" s="24"/>
      <c r="G2972" s="24"/>
      <c r="I2972" s="13" t="str">
        <f>IFERROR(__xludf.DUMMYFUNCTION("if(isblank(A2972),,split(A2972,""-""))"),"")</f>
        <v/>
      </c>
      <c r="K2972" s="13" t="str">
        <f>IFERROR(__xludf.DUMMYFUNCTION("if(isblank(B2972),,split(B2972,""-""))"),"")</f>
        <v/>
      </c>
    </row>
    <row r="2973">
      <c r="A2973" s="132"/>
      <c r="B2973" s="41"/>
      <c r="C2973" s="9"/>
      <c r="D2973" s="133"/>
      <c r="E2973" s="133"/>
      <c r="F2973" s="24"/>
      <c r="G2973" s="24"/>
      <c r="I2973" s="13" t="str">
        <f>IFERROR(__xludf.DUMMYFUNCTION("if(isblank(A2973),,split(A2973,""-""))"),"")</f>
        <v/>
      </c>
      <c r="K2973" s="13" t="str">
        <f>IFERROR(__xludf.DUMMYFUNCTION("if(isblank(B2973),,split(B2973,""-""))"),"")</f>
        <v/>
      </c>
    </row>
    <row r="2974">
      <c r="A2974" s="132"/>
      <c r="B2974" s="41"/>
      <c r="C2974" s="9"/>
      <c r="D2974" s="133"/>
      <c r="E2974" s="133"/>
      <c r="F2974" s="24"/>
      <c r="G2974" s="24"/>
      <c r="I2974" s="13" t="str">
        <f>IFERROR(__xludf.DUMMYFUNCTION("if(isblank(A2974),,split(A2974,""-""))"),"")</f>
        <v/>
      </c>
      <c r="K2974" s="13" t="str">
        <f>IFERROR(__xludf.DUMMYFUNCTION("if(isblank(B2974),,split(B2974,""-""))"),"")</f>
        <v/>
      </c>
    </row>
    <row r="2975">
      <c r="A2975" s="132"/>
      <c r="B2975" s="41"/>
      <c r="C2975" s="9"/>
      <c r="D2975" s="133"/>
      <c r="E2975" s="133"/>
      <c r="F2975" s="24"/>
      <c r="G2975" s="24"/>
      <c r="I2975" s="13" t="str">
        <f>IFERROR(__xludf.DUMMYFUNCTION("if(isblank(A2975),,split(A2975,""-""))"),"")</f>
        <v/>
      </c>
      <c r="K2975" s="13" t="str">
        <f>IFERROR(__xludf.DUMMYFUNCTION("if(isblank(B2975),,split(B2975,""-""))"),"")</f>
        <v/>
      </c>
    </row>
    <row r="2976">
      <c r="A2976" s="132"/>
      <c r="B2976" s="41"/>
      <c r="C2976" s="9"/>
      <c r="D2976" s="133"/>
      <c r="E2976" s="133"/>
      <c r="F2976" s="24"/>
      <c r="G2976" s="24"/>
      <c r="I2976" s="13" t="str">
        <f>IFERROR(__xludf.DUMMYFUNCTION("if(isblank(A2976),,split(A2976,""-""))"),"")</f>
        <v/>
      </c>
      <c r="K2976" s="13" t="str">
        <f>IFERROR(__xludf.DUMMYFUNCTION("if(isblank(B2976),,split(B2976,""-""))"),"")</f>
        <v/>
      </c>
    </row>
    <row r="2977">
      <c r="A2977" s="132"/>
      <c r="B2977" s="41"/>
      <c r="C2977" s="9"/>
      <c r="D2977" s="133"/>
      <c r="E2977" s="133"/>
      <c r="F2977" s="24"/>
      <c r="G2977" s="24"/>
      <c r="I2977" s="13" t="str">
        <f>IFERROR(__xludf.DUMMYFUNCTION("if(isblank(A2977),,split(A2977,""-""))"),"")</f>
        <v/>
      </c>
      <c r="K2977" s="13" t="str">
        <f>IFERROR(__xludf.DUMMYFUNCTION("if(isblank(B2977),,split(B2977,""-""))"),"")</f>
        <v/>
      </c>
    </row>
    <row r="2978">
      <c r="A2978" s="132"/>
      <c r="B2978" s="41"/>
      <c r="C2978" s="9"/>
      <c r="D2978" s="133"/>
      <c r="E2978" s="133"/>
      <c r="F2978" s="24"/>
      <c r="G2978" s="24"/>
      <c r="I2978" s="13" t="str">
        <f>IFERROR(__xludf.DUMMYFUNCTION("if(isblank(A2978),,split(A2978,""-""))"),"")</f>
        <v/>
      </c>
      <c r="K2978" s="13" t="str">
        <f>IFERROR(__xludf.DUMMYFUNCTION("if(isblank(B2978),,split(B2978,""-""))"),"")</f>
        <v/>
      </c>
    </row>
    <row r="2979">
      <c r="A2979" s="132"/>
      <c r="B2979" s="41"/>
      <c r="C2979" s="9"/>
      <c r="D2979" s="133"/>
      <c r="E2979" s="133"/>
      <c r="F2979" s="24"/>
      <c r="G2979" s="24"/>
      <c r="I2979" s="13" t="str">
        <f>IFERROR(__xludf.DUMMYFUNCTION("if(isblank(A2979),,split(A2979,""-""))"),"")</f>
        <v/>
      </c>
      <c r="K2979" s="13" t="str">
        <f>IFERROR(__xludf.DUMMYFUNCTION("if(isblank(B2979),,split(B2979,""-""))"),"")</f>
        <v/>
      </c>
    </row>
    <row r="2980">
      <c r="A2980" s="132"/>
      <c r="B2980" s="41"/>
      <c r="C2980" s="9"/>
      <c r="D2980" s="133"/>
      <c r="E2980" s="133"/>
      <c r="F2980" s="24"/>
      <c r="G2980" s="24"/>
      <c r="I2980" s="13" t="str">
        <f>IFERROR(__xludf.DUMMYFUNCTION("if(isblank(A2980),,split(A2980,""-""))"),"")</f>
        <v/>
      </c>
      <c r="K2980" s="13" t="str">
        <f>IFERROR(__xludf.DUMMYFUNCTION("if(isblank(B2980),,split(B2980,""-""))"),"")</f>
        <v/>
      </c>
    </row>
    <row r="2981">
      <c r="A2981" s="132"/>
      <c r="B2981" s="41"/>
      <c r="C2981" s="9"/>
      <c r="D2981" s="133"/>
      <c r="E2981" s="133"/>
      <c r="F2981" s="24"/>
      <c r="G2981" s="24"/>
      <c r="I2981" s="13" t="str">
        <f>IFERROR(__xludf.DUMMYFUNCTION("if(isblank(A2981),,split(A2981,""-""))"),"")</f>
        <v/>
      </c>
      <c r="K2981" s="13" t="str">
        <f>IFERROR(__xludf.DUMMYFUNCTION("if(isblank(B2981),,split(B2981,""-""))"),"")</f>
        <v/>
      </c>
    </row>
    <row r="2982">
      <c r="A2982" s="132"/>
      <c r="B2982" s="41"/>
      <c r="C2982" s="9"/>
      <c r="D2982" s="133"/>
      <c r="E2982" s="133"/>
      <c r="F2982" s="24"/>
      <c r="G2982" s="24"/>
      <c r="I2982" s="13" t="str">
        <f>IFERROR(__xludf.DUMMYFUNCTION("if(isblank(A2982),,split(A2982,""-""))"),"")</f>
        <v/>
      </c>
      <c r="K2982" s="13" t="str">
        <f>IFERROR(__xludf.DUMMYFUNCTION("if(isblank(B2982),,split(B2982,""-""))"),"")</f>
        <v/>
      </c>
    </row>
    <row r="2983">
      <c r="A2983" s="132"/>
      <c r="B2983" s="41"/>
      <c r="C2983" s="9"/>
      <c r="D2983" s="133"/>
      <c r="E2983" s="133"/>
      <c r="F2983" s="24"/>
      <c r="G2983" s="24"/>
      <c r="I2983" s="13" t="str">
        <f>IFERROR(__xludf.DUMMYFUNCTION("if(isblank(A2983),,split(A2983,""-""))"),"")</f>
        <v/>
      </c>
      <c r="K2983" s="13" t="str">
        <f>IFERROR(__xludf.DUMMYFUNCTION("if(isblank(B2983),,split(B2983,""-""))"),"")</f>
        <v/>
      </c>
    </row>
    <row r="2984">
      <c r="A2984" s="132"/>
      <c r="B2984" s="41"/>
      <c r="C2984" s="9"/>
      <c r="D2984" s="133"/>
      <c r="E2984" s="133"/>
      <c r="F2984" s="24"/>
      <c r="G2984" s="24"/>
      <c r="I2984" s="13" t="str">
        <f>IFERROR(__xludf.DUMMYFUNCTION("if(isblank(A2984),,split(A2984,""-""))"),"")</f>
        <v/>
      </c>
      <c r="K2984" s="13" t="str">
        <f>IFERROR(__xludf.DUMMYFUNCTION("if(isblank(B2984),,split(B2984,""-""))"),"")</f>
        <v/>
      </c>
    </row>
    <row r="2985">
      <c r="A2985" s="132"/>
      <c r="B2985" s="41"/>
      <c r="C2985" s="9"/>
      <c r="D2985" s="133"/>
      <c r="E2985" s="133"/>
      <c r="F2985" s="24"/>
      <c r="G2985" s="24"/>
      <c r="I2985" s="13" t="str">
        <f>IFERROR(__xludf.DUMMYFUNCTION("if(isblank(A2985),,split(A2985,""-""))"),"")</f>
        <v/>
      </c>
      <c r="K2985" s="13" t="str">
        <f>IFERROR(__xludf.DUMMYFUNCTION("if(isblank(B2985),,split(B2985,""-""))"),"")</f>
        <v/>
      </c>
    </row>
    <row r="2986">
      <c r="A2986" s="132"/>
      <c r="B2986" s="41"/>
      <c r="C2986" s="9"/>
      <c r="D2986" s="133"/>
      <c r="E2986" s="133"/>
      <c r="F2986" s="24"/>
      <c r="G2986" s="24"/>
      <c r="I2986" s="13" t="str">
        <f>IFERROR(__xludf.DUMMYFUNCTION("if(isblank(A2986),,split(A2986,""-""))"),"")</f>
        <v/>
      </c>
      <c r="K2986" s="13" t="str">
        <f>IFERROR(__xludf.DUMMYFUNCTION("if(isblank(B2986),,split(B2986,""-""))"),"")</f>
        <v/>
      </c>
    </row>
    <row r="2987">
      <c r="A2987" s="132"/>
      <c r="B2987" s="41"/>
      <c r="C2987" s="9"/>
      <c r="D2987" s="133"/>
      <c r="E2987" s="133"/>
      <c r="F2987" s="24"/>
      <c r="G2987" s="24"/>
      <c r="I2987" s="13" t="str">
        <f>IFERROR(__xludf.DUMMYFUNCTION("if(isblank(A2987),,split(A2987,""-""))"),"")</f>
        <v/>
      </c>
      <c r="K2987" s="13" t="str">
        <f>IFERROR(__xludf.DUMMYFUNCTION("if(isblank(B2987),,split(B2987,""-""))"),"")</f>
        <v/>
      </c>
    </row>
    <row r="2988">
      <c r="A2988" s="132"/>
      <c r="B2988" s="41"/>
      <c r="C2988" s="9"/>
      <c r="D2988" s="133"/>
      <c r="E2988" s="133"/>
      <c r="F2988" s="24"/>
      <c r="G2988" s="24"/>
      <c r="I2988" s="13" t="str">
        <f>IFERROR(__xludf.DUMMYFUNCTION("if(isblank(A2988),,split(A2988,""-""))"),"")</f>
        <v/>
      </c>
      <c r="K2988" s="13" t="str">
        <f>IFERROR(__xludf.DUMMYFUNCTION("if(isblank(B2988),,split(B2988,""-""))"),"")</f>
        <v/>
      </c>
    </row>
    <row r="2989">
      <c r="A2989" s="132"/>
      <c r="B2989" s="41"/>
      <c r="C2989" s="9"/>
      <c r="D2989" s="133"/>
      <c r="E2989" s="133"/>
      <c r="F2989" s="24"/>
      <c r="G2989" s="24"/>
      <c r="I2989" s="13" t="str">
        <f>IFERROR(__xludf.DUMMYFUNCTION("if(isblank(A2989),,split(A2989,""-""))"),"")</f>
        <v/>
      </c>
      <c r="K2989" s="13" t="str">
        <f>IFERROR(__xludf.DUMMYFUNCTION("if(isblank(B2989),,split(B2989,""-""))"),"")</f>
        <v/>
      </c>
    </row>
    <row r="2990">
      <c r="A2990" s="132"/>
      <c r="B2990" s="41"/>
      <c r="C2990" s="9"/>
      <c r="D2990" s="133"/>
      <c r="E2990" s="133"/>
      <c r="F2990" s="24"/>
      <c r="G2990" s="24"/>
      <c r="I2990" s="13" t="str">
        <f>IFERROR(__xludf.DUMMYFUNCTION("if(isblank(A2990),,split(A2990,""-""))"),"")</f>
        <v/>
      </c>
      <c r="K2990" s="13" t="str">
        <f>IFERROR(__xludf.DUMMYFUNCTION("if(isblank(B2990),,split(B2990,""-""))"),"")</f>
        <v/>
      </c>
    </row>
    <row r="2991">
      <c r="A2991" s="132"/>
      <c r="B2991" s="41"/>
      <c r="C2991" s="9"/>
      <c r="D2991" s="133"/>
      <c r="E2991" s="133"/>
      <c r="F2991" s="24"/>
      <c r="G2991" s="24"/>
      <c r="I2991" s="13" t="str">
        <f>IFERROR(__xludf.DUMMYFUNCTION("if(isblank(A2991),,split(A2991,""-""))"),"")</f>
        <v/>
      </c>
      <c r="K2991" s="13" t="str">
        <f>IFERROR(__xludf.DUMMYFUNCTION("if(isblank(B2991),,split(B2991,""-""))"),"")</f>
        <v/>
      </c>
    </row>
    <row r="2992">
      <c r="A2992" s="132"/>
      <c r="B2992" s="41"/>
      <c r="C2992" s="9"/>
      <c r="D2992" s="133"/>
      <c r="E2992" s="133"/>
      <c r="F2992" s="24"/>
      <c r="G2992" s="24"/>
      <c r="I2992" s="13" t="str">
        <f>IFERROR(__xludf.DUMMYFUNCTION("if(isblank(A2992),,split(A2992,""-""))"),"")</f>
        <v/>
      </c>
      <c r="K2992" s="13" t="str">
        <f>IFERROR(__xludf.DUMMYFUNCTION("if(isblank(B2992),,split(B2992,""-""))"),"")</f>
        <v/>
      </c>
    </row>
    <row r="2993">
      <c r="A2993" s="132"/>
      <c r="B2993" s="41"/>
      <c r="C2993" s="9"/>
      <c r="D2993" s="133"/>
      <c r="E2993" s="133"/>
      <c r="F2993" s="24"/>
      <c r="G2993" s="24"/>
      <c r="I2993" s="13" t="str">
        <f>IFERROR(__xludf.DUMMYFUNCTION("if(isblank(A2993),,split(A2993,""-""))"),"")</f>
        <v/>
      </c>
      <c r="K2993" s="13" t="str">
        <f>IFERROR(__xludf.DUMMYFUNCTION("if(isblank(B2993),,split(B2993,""-""))"),"")</f>
        <v/>
      </c>
    </row>
    <row r="2994">
      <c r="A2994" s="132"/>
      <c r="B2994" s="41"/>
      <c r="C2994" s="9"/>
      <c r="D2994" s="133"/>
      <c r="E2994" s="133"/>
      <c r="F2994" s="24"/>
      <c r="G2994" s="24"/>
      <c r="I2994" s="13" t="str">
        <f>IFERROR(__xludf.DUMMYFUNCTION("if(isblank(A2994),,split(A2994,""-""))"),"")</f>
        <v/>
      </c>
      <c r="K2994" s="13" t="str">
        <f>IFERROR(__xludf.DUMMYFUNCTION("if(isblank(B2994),,split(B2994,""-""))"),"")</f>
        <v/>
      </c>
    </row>
    <row r="2995">
      <c r="A2995" s="132"/>
      <c r="B2995" s="41"/>
      <c r="C2995" s="9"/>
      <c r="D2995" s="133"/>
      <c r="E2995" s="133"/>
      <c r="F2995" s="24"/>
      <c r="G2995" s="24"/>
      <c r="I2995" s="13" t="str">
        <f>IFERROR(__xludf.DUMMYFUNCTION("if(isblank(A2995),,split(A2995,""-""))"),"")</f>
        <v/>
      </c>
      <c r="K2995" s="13" t="str">
        <f>IFERROR(__xludf.DUMMYFUNCTION("if(isblank(B2995),,split(B2995,""-""))"),"")</f>
        <v/>
      </c>
    </row>
    <row r="2996">
      <c r="A2996" s="132"/>
      <c r="B2996" s="41"/>
      <c r="C2996" s="9"/>
      <c r="D2996" s="133"/>
      <c r="E2996" s="133"/>
      <c r="F2996" s="24"/>
      <c r="G2996" s="24"/>
      <c r="I2996" s="13" t="str">
        <f>IFERROR(__xludf.DUMMYFUNCTION("if(isblank(A2996),,split(A2996,""-""))"),"")</f>
        <v/>
      </c>
      <c r="K2996" s="13" t="str">
        <f>IFERROR(__xludf.DUMMYFUNCTION("if(isblank(B2996),,split(B2996,""-""))"),"")</f>
        <v/>
      </c>
    </row>
    <row r="2997">
      <c r="A2997" s="132"/>
      <c r="B2997" s="41"/>
      <c r="C2997" s="9"/>
      <c r="D2997" s="133"/>
      <c r="E2997" s="133"/>
      <c r="F2997" s="24"/>
      <c r="G2997" s="24"/>
      <c r="I2997" s="13" t="str">
        <f>IFERROR(__xludf.DUMMYFUNCTION("if(isblank(A2997),,split(A2997,""-""))"),"")</f>
        <v/>
      </c>
      <c r="K2997" s="13" t="str">
        <f>IFERROR(__xludf.DUMMYFUNCTION("if(isblank(B2997),,split(B2997,""-""))"),"")</f>
        <v/>
      </c>
    </row>
    <row r="2998">
      <c r="A2998" s="132"/>
      <c r="B2998" s="41"/>
      <c r="C2998" s="9"/>
      <c r="D2998" s="133"/>
      <c r="E2998" s="133"/>
      <c r="F2998" s="24"/>
      <c r="G2998" s="24"/>
      <c r="I2998" s="13" t="str">
        <f>IFERROR(__xludf.DUMMYFUNCTION("if(isblank(A2998),,split(A2998,""-""))"),"")</f>
        <v/>
      </c>
      <c r="K2998" s="13" t="str">
        <f>IFERROR(__xludf.DUMMYFUNCTION("if(isblank(B2998),,split(B2998,""-""))"),"")</f>
        <v/>
      </c>
    </row>
    <row r="2999">
      <c r="A2999" s="132"/>
      <c r="B2999" s="41"/>
      <c r="C2999" s="9"/>
      <c r="D2999" s="133"/>
      <c r="E2999" s="133"/>
      <c r="F2999" s="24"/>
      <c r="G2999" s="24"/>
      <c r="I2999" s="13" t="str">
        <f>IFERROR(__xludf.DUMMYFUNCTION("if(isblank(A2999),,split(A2999,""-""))"),"")</f>
        <v/>
      </c>
      <c r="K2999" s="13" t="str">
        <f>IFERROR(__xludf.DUMMYFUNCTION("if(isblank(B2999),,split(B2999,""-""))"),"")</f>
        <v/>
      </c>
    </row>
    <row r="3000">
      <c r="A3000" s="132"/>
      <c r="B3000" s="41"/>
      <c r="C3000" s="9"/>
      <c r="D3000" s="133"/>
      <c r="E3000" s="133"/>
      <c r="F3000" s="24"/>
      <c r="G3000" s="24"/>
      <c r="I3000" s="13" t="str">
        <f>IFERROR(__xludf.DUMMYFUNCTION("if(isblank(A3000),,split(A3000,""-""))"),"")</f>
        <v/>
      </c>
      <c r="K3000" s="13" t="str">
        <f>IFERROR(__xludf.DUMMYFUNCTION("if(isblank(B3000),,split(B3000,""-""))"),"")</f>
        <v/>
      </c>
    </row>
    <row r="3001">
      <c r="A3001" s="132"/>
      <c r="B3001" s="41"/>
      <c r="C3001" s="9"/>
      <c r="D3001" s="133"/>
      <c r="E3001" s="133"/>
      <c r="F3001" s="24"/>
      <c r="G3001" s="24"/>
      <c r="I3001" s="13" t="str">
        <f>IFERROR(__xludf.DUMMYFUNCTION("if(isblank(A3001),,split(A3001,""-""))"),"")</f>
        <v/>
      </c>
      <c r="K3001" s="13" t="str">
        <f>IFERROR(__xludf.DUMMYFUNCTION("if(isblank(B3001),,split(B3001,""-""))"),"")</f>
        <v/>
      </c>
    </row>
    <row r="3002">
      <c r="A3002" s="132"/>
      <c r="B3002" s="41"/>
      <c r="C3002" s="9"/>
      <c r="D3002" s="133"/>
      <c r="E3002" s="133"/>
      <c r="F3002" s="24"/>
      <c r="G3002" s="24"/>
      <c r="I3002" s="13" t="str">
        <f>IFERROR(__xludf.DUMMYFUNCTION("if(isblank(A3002),,split(A3002,""-""))"),"")</f>
        <v/>
      </c>
      <c r="K3002" s="13" t="str">
        <f>IFERROR(__xludf.DUMMYFUNCTION("if(isblank(B3002),,split(B3002,""-""))"),"")</f>
        <v/>
      </c>
    </row>
    <row r="3003">
      <c r="A3003" s="132"/>
      <c r="B3003" s="41"/>
      <c r="C3003" s="9"/>
      <c r="D3003" s="133"/>
      <c r="E3003" s="133"/>
      <c r="F3003" s="24"/>
      <c r="G3003" s="24"/>
      <c r="I3003" s="13" t="str">
        <f>IFERROR(__xludf.DUMMYFUNCTION("if(isblank(A3003),,split(A3003,""-""))"),"")</f>
        <v/>
      </c>
      <c r="K3003" s="13" t="str">
        <f>IFERROR(__xludf.DUMMYFUNCTION("if(isblank(B3003),,split(B3003,""-""))"),"")</f>
        <v/>
      </c>
    </row>
    <row r="3004">
      <c r="A3004" s="132"/>
      <c r="B3004" s="41"/>
      <c r="C3004" s="9"/>
      <c r="D3004" s="133"/>
      <c r="E3004" s="133"/>
      <c r="F3004" s="24"/>
      <c r="G3004" s="24"/>
      <c r="I3004" s="13" t="str">
        <f>IFERROR(__xludf.DUMMYFUNCTION("if(isblank(A3004),,split(A3004,""-""))"),"")</f>
        <v/>
      </c>
      <c r="K3004" s="13" t="str">
        <f>IFERROR(__xludf.DUMMYFUNCTION("if(isblank(B3004),,split(B3004,""-""))"),"")</f>
        <v/>
      </c>
    </row>
    <row r="3005">
      <c r="A3005" s="132"/>
      <c r="B3005" s="41"/>
      <c r="C3005" s="9"/>
      <c r="D3005" s="133"/>
      <c r="E3005" s="133"/>
      <c r="F3005" s="24"/>
      <c r="G3005" s="24"/>
      <c r="I3005" s="13" t="str">
        <f>IFERROR(__xludf.DUMMYFUNCTION("if(isblank(A3005),,split(A3005,""-""))"),"")</f>
        <v/>
      </c>
      <c r="K3005" s="13" t="str">
        <f>IFERROR(__xludf.DUMMYFUNCTION("if(isblank(B3005),,split(B3005,""-""))"),"")</f>
        <v/>
      </c>
    </row>
    <row r="3006">
      <c r="A3006" s="132"/>
      <c r="B3006" s="41"/>
      <c r="C3006" s="9"/>
      <c r="D3006" s="133"/>
      <c r="E3006" s="133"/>
      <c r="F3006" s="24"/>
      <c r="G3006" s="24"/>
      <c r="I3006" s="13" t="str">
        <f>IFERROR(__xludf.DUMMYFUNCTION("if(isblank(A3006),,split(A3006,""-""))"),"")</f>
        <v/>
      </c>
      <c r="K3006" s="13" t="str">
        <f>IFERROR(__xludf.DUMMYFUNCTION("if(isblank(B3006),,split(B3006,""-""))"),"")</f>
        <v/>
      </c>
    </row>
    <row r="3007">
      <c r="A3007" s="132"/>
      <c r="B3007" s="41"/>
      <c r="C3007" s="9"/>
      <c r="D3007" s="133"/>
      <c r="E3007" s="133"/>
      <c r="F3007" s="24"/>
      <c r="G3007" s="24"/>
      <c r="I3007" s="13" t="str">
        <f>IFERROR(__xludf.DUMMYFUNCTION("if(isblank(A3007),,split(A3007,""-""))"),"")</f>
        <v/>
      </c>
      <c r="K3007" s="13" t="str">
        <f>IFERROR(__xludf.DUMMYFUNCTION("if(isblank(B3007),,split(B3007,""-""))"),"")</f>
        <v/>
      </c>
    </row>
    <row r="3008">
      <c r="A3008" s="132"/>
      <c r="B3008" s="41"/>
      <c r="C3008" s="9"/>
      <c r="D3008" s="133"/>
      <c r="E3008" s="133"/>
      <c r="F3008" s="24"/>
      <c r="G3008" s="24"/>
      <c r="I3008" s="13" t="str">
        <f>IFERROR(__xludf.DUMMYFUNCTION("if(isblank(A3008),,split(A3008,""-""))"),"")</f>
        <v/>
      </c>
      <c r="K3008" s="13" t="str">
        <f>IFERROR(__xludf.DUMMYFUNCTION("if(isblank(B3008),,split(B3008,""-""))"),"")</f>
        <v/>
      </c>
    </row>
    <row r="3009">
      <c r="A3009" s="132"/>
      <c r="B3009" s="41"/>
      <c r="C3009" s="9"/>
      <c r="D3009" s="133"/>
      <c r="E3009" s="133"/>
      <c r="F3009" s="24"/>
      <c r="G3009" s="24"/>
      <c r="I3009" s="13" t="str">
        <f>IFERROR(__xludf.DUMMYFUNCTION("if(isblank(A3009),,split(A3009,""-""))"),"")</f>
        <v/>
      </c>
      <c r="K3009" s="13" t="str">
        <f>IFERROR(__xludf.DUMMYFUNCTION("if(isblank(B3009),,split(B3009,""-""))"),"")</f>
        <v/>
      </c>
    </row>
    <row r="3010">
      <c r="A3010" s="132"/>
      <c r="B3010" s="41"/>
      <c r="C3010" s="9"/>
      <c r="D3010" s="133"/>
      <c r="E3010" s="133"/>
      <c r="F3010" s="24"/>
      <c r="G3010" s="24"/>
      <c r="I3010" s="13" t="str">
        <f>IFERROR(__xludf.DUMMYFUNCTION("if(isblank(A3010),,split(A3010,""-""))"),"")</f>
        <v/>
      </c>
      <c r="K3010" s="13" t="str">
        <f>IFERROR(__xludf.DUMMYFUNCTION("if(isblank(B3010),,split(B3010,""-""))"),"")</f>
        <v/>
      </c>
    </row>
    <row r="3011">
      <c r="A3011" s="132"/>
      <c r="B3011" s="41"/>
      <c r="C3011" s="9"/>
      <c r="D3011" s="133"/>
      <c r="E3011" s="133"/>
      <c r="F3011" s="24"/>
      <c r="G3011" s="24"/>
      <c r="I3011" s="13" t="str">
        <f>IFERROR(__xludf.DUMMYFUNCTION("if(isblank(A3011),,split(A3011,""-""))"),"")</f>
        <v/>
      </c>
      <c r="K3011" s="13" t="str">
        <f>IFERROR(__xludf.DUMMYFUNCTION("if(isblank(B3011),,split(B3011,""-""))"),"")</f>
        <v/>
      </c>
    </row>
    <row r="3012">
      <c r="A3012" s="132"/>
      <c r="B3012" s="41"/>
      <c r="C3012" s="9"/>
      <c r="D3012" s="133"/>
      <c r="E3012" s="133"/>
      <c r="F3012" s="24"/>
      <c r="G3012" s="24"/>
      <c r="I3012" s="13" t="str">
        <f>IFERROR(__xludf.DUMMYFUNCTION("if(isblank(A3012),,split(A3012,""-""))"),"")</f>
        <v/>
      </c>
      <c r="K3012" s="13" t="str">
        <f>IFERROR(__xludf.DUMMYFUNCTION("if(isblank(B3012),,split(B3012,""-""))"),"")</f>
        <v/>
      </c>
    </row>
    <row r="3013">
      <c r="A3013" s="132"/>
      <c r="B3013" s="41"/>
      <c r="C3013" s="9"/>
      <c r="D3013" s="133"/>
      <c r="E3013" s="133"/>
      <c r="F3013" s="24"/>
      <c r="G3013" s="24"/>
      <c r="I3013" s="13" t="str">
        <f>IFERROR(__xludf.DUMMYFUNCTION("if(isblank(A3013),,split(A3013,""-""))"),"")</f>
        <v/>
      </c>
      <c r="K3013" s="13" t="str">
        <f>IFERROR(__xludf.DUMMYFUNCTION("if(isblank(B3013),,split(B3013,""-""))"),"")</f>
        <v/>
      </c>
    </row>
    <row r="3014">
      <c r="A3014" s="132"/>
      <c r="B3014" s="41"/>
      <c r="C3014" s="9"/>
      <c r="D3014" s="133"/>
      <c r="E3014" s="133"/>
      <c r="F3014" s="24"/>
      <c r="G3014" s="24"/>
      <c r="I3014" s="13" t="str">
        <f>IFERROR(__xludf.DUMMYFUNCTION("if(isblank(A3014),,split(A3014,""-""))"),"")</f>
        <v/>
      </c>
      <c r="K3014" s="13" t="str">
        <f>IFERROR(__xludf.DUMMYFUNCTION("if(isblank(B3014),,split(B3014,""-""))"),"")</f>
        <v/>
      </c>
    </row>
    <row r="3015">
      <c r="A3015" s="132"/>
      <c r="B3015" s="41"/>
      <c r="C3015" s="9"/>
      <c r="D3015" s="133"/>
      <c r="E3015" s="133"/>
      <c r="F3015" s="24"/>
      <c r="G3015" s="24"/>
      <c r="I3015" s="13" t="str">
        <f>IFERROR(__xludf.DUMMYFUNCTION("if(isblank(A3015),,split(A3015,""-""))"),"")</f>
        <v/>
      </c>
      <c r="K3015" s="13" t="str">
        <f>IFERROR(__xludf.DUMMYFUNCTION("if(isblank(B3015),,split(B3015,""-""))"),"")</f>
        <v/>
      </c>
    </row>
    <row r="3016">
      <c r="A3016" s="132"/>
      <c r="B3016" s="41"/>
      <c r="C3016" s="9"/>
      <c r="D3016" s="133"/>
      <c r="E3016" s="133"/>
      <c r="F3016" s="24"/>
      <c r="G3016" s="24"/>
      <c r="I3016" s="13" t="str">
        <f>IFERROR(__xludf.DUMMYFUNCTION("if(isblank(A3016),,split(A3016,""-""))"),"")</f>
        <v/>
      </c>
      <c r="K3016" s="13" t="str">
        <f>IFERROR(__xludf.DUMMYFUNCTION("if(isblank(B3016),,split(B3016,""-""))"),"")</f>
        <v/>
      </c>
    </row>
    <row r="3017">
      <c r="A3017" s="132"/>
      <c r="B3017" s="41"/>
      <c r="C3017" s="9"/>
      <c r="D3017" s="133"/>
      <c r="E3017" s="133"/>
      <c r="F3017" s="24"/>
      <c r="G3017" s="24"/>
      <c r="I3017" s="13" t="str">
        <f>IFERROR(__xludf.DUMMYFUNCTION("if(isblank(A3017),,split(A3017,""-""))"),"")</f>
        <v/>
      </c>
      <c r="K3017" s="13" t="str">
        <f>IFERROR(__xludf.DUMMYFUNCTION("if(isblank(B3017),,split(B3017,""-""))"),"")</f>
        <v/>
      </c>
    </row>
    <row r="3018">
      <c r="A3018" s="132"/>
      <c r="B3018" s="41"/>
      <c r="C3018" s="9"/>
      <c r="D3018" s="133"/>
      <c r="E3018" s="133"/>
      <c r="F3018" s="24"/>
      <c r="G3018" s="24"/>
      <c r="I3018" s="13" t="str">
        <f>IFERROR(__xludf.DUMMYFUNCTION("if(isblank(A3018),,split(A3018,""-""))"),"")</f>
        <v/>
      </c>
      <c r="K3018" s="13" t="str">
        <f>IFERROR(__xludf.DUMMYFUNCTION("if(isblank(B3018),,split(B3018,""-""))"),"")</f>
        <v/>
      </c>
    </row>
    <row r="3019">
      <c r="A3019" s="132"/>
      <c r="B3019" s="41"/>
      <c r="C3019" s="9"/>
      <c r="D3019" s="133"/>
      <c r="E3019" s="133"/>
      <c r="F3019" s="24"/>
      <c r="G3019" s="24"/>
      <c r="I3019" s="13" t="str">
        <f>IFERROR(__xludf.DUMMYFUNCTION("if(isblank(A3019),,split(A3019,""-""))"),"")</f>
        <v/>
      </c>
      <c r="K3019" s="13" t="str">
        <f>IFERROR(__xludf.DUMMYFUNCTION("if(isblank(B3019),,split(B3019,""-""))"),"")</f>
        <v/>
      </c>
    </row>
    <row r="3020">
      <c r="A3020" s="132"/>
      <c r="B3020" s="41"/>
      <c r="C3020" s="9"/>
      <c r="D3020" s="133"/>
      <c r="E3020" s="133"/>
      <c r="F3020" s="24"/>
      <c r="G3020" s="24"/>
      <c r="I3020" s="13" t="str">
        <f>IFERROR(__xludf.DUMMYFUNCTION("if(isblank(A3020),,split(A3020,""-""))"),"")</f>
        <v/>
      </c>
      <c r="K3020" s="13" t="str">
        <f>IFERROR(__xludf.DUMMYFUNCTION("if(isblank(B3020),,split(B3020,""-""))"),"")</f>
        <v/>
      </c>
    </row>
    <row r="3021">
      <c r="A3021" s="132"/>
      <c r="B3021" s="41"/>
      <c r="C3021" s="9"/>
      <c r="D3021" s="133"/>
      <c r="E3021" s="133"/>
      <c r="F3021" s="24"/>
      <c r="G3021" s="24"/>
      <c r="I3021" s="13" t="str">
        <f>IFERROR(__xludf.DUMMYFUNCTION("if(isblank(A3021),,split(A3021,""-""))"),"")</f>
        <v/>
      </c>
      <c r="K3021" s="13" t="str">
        <f>IFERROR(__xludf.DUMMYFUNCTION("if(isblank(B3021),,split(B3021,""-""))"),"")</f>
        <v/>
      </c>
    </row>
    <row r="3022">
      <c r="A3022" s="132"/>
      <c r="B3022" s="41"/>
      <c r="C3022" s="9"/>
      <c r="D3022" s="133"/>
      <c r="E3022" s="133"/>
      <c r="F3022" s="24"/>
      <c r="G3022" s="24"/>
      <c r="I3022" s="13" t="str">
        <f>IFERROR(__xludf.DUMMYFUNCTION("if(isblank(A3022),,split(A3022,""-""))"),"")</f>
        <v/>
      </c>
      <c r="K3022" s="13" t="str">
        <f>IFERROR(__xludf.DUMMYFUNCTION("if(isblank(B3022),,split(B3022,""-""))"),"")</f>
        <v/>
      </c>
    </row>
    <row r="3023">
      <c r="A3023" s="132"/>
      <c r="B3023" s="41"/>
      <c r="C3023" s="9"/>
      <c r="D3023" s="133"/>
      <c r="E3023" s="133"/>
      <c r="F3023" s="24"/>
      <c r="G3023" s="24"/>
      <c r="I3023" s="13" t="str">
        <f>IFERROR(__xludf.DUMMYFUNCTION("if(isblank(A3023),,split(A3023,""-""))"),"")</f>
        <v/>
      </c>
      <c r="K3023" s="13" t="str">
        <f>IFERROR(__xludf.DUMMYFUNCTION("if(isblank(B3023),,split(B3023,""-""))"),"")</f>
        <v/>
      </c>
    </row>
    <row r="3024">
      <c r="A3024" s="132"/>
      <c r="B3024" s="41"/>
      <c r="C3024" s="9"/>
      <c r="D3024" s="133"/>
      <c r="E3024" s="133"/>
      <c r="F3024" s="24"/>
      <c r="G3024" s="24"/>
      <c r="I3024" s="13" t="str">
        <f>IFERROR(__xludf.DUMMYFUNCTION("if(isblank(A3024),,split(A3024,""-""))"),"")</f>
        <v/>
      </c>
      <c r="K3024" s="13" t="str">
        <f>IFERROR(__xludf.DUMMYFUNCTION("if(isblank(B3024),,split(B3024,""-""))"),"")</f>
        <v/>
      </c>
    </row>
    <row r="3025">
      <c r="A3025" s="132"/>
      <c r="B3025" s="41"/>
      <c r="C3025" s="9"/>
      <c r="D3025" s="133"/>
      <c r="E3025" s="133"/>
      <c r="F3025" s="24"/>
      <c r="G3025" s="24"/>
      <c r="I3025" s="13" t="str">
        <f>IFERROR(__xludf.DUMMYFUNCTION("if(isblank(A3025),,split(A3025,""-""))"),"")</f>
        <v/>
      </c>
      <c r="K3025" s="13" t="str">
        <f>IFERROR(__xludf.DUMMYFUNCTION("if(isblank(B3025),,split(B3025,""-""))"),"")</f>
        <v/>
      </c>
    </row>
    <row r="3026">
      <c r="A3026" s="132"/>
      <c r="B3026" s="41"/>
      <c r="C3026" s="9"/>
      <c r="D3026" s="133"/>
      <c r="E3026" s="133"/>
      <c r="F3026" s="24"/>
      <c r="G3026" s="24"/>
      <c r="I3026" s="13" t="str">
        <f>IFERROR(__xludf.DUMMYFUNCTION("if(isblank(A3026),,split(A3026,""-""))"),"")</f>
        <v/>
      </c>
      <c r="K3026" s="13" t="str">
        <f>IFERROR(__xludf.DUMMYFUNCTION("if(isblank(B3026),,split(B3026,""-""))"),"")</f>
        <v/>
      </c>
    </row>
    <row r="3027">
      <c r="A3027" s="132"/>
      <c r="B3027" s="41"/>
      <c r="C3027" s="9"/>
      <c r="D3027" s="133"/>
      <c r="E3027" s="133"/>
      <c r="F3027" s="24"/>
      <c r="G3027" s="24"/>
      <c r="I3027" s="13" t="str">
        <f>IFERROR(__xludf.DUMMYFUNCTION("if(isblank(A3027),,split(A3027,""-""))"),"")</f>
        <v/>
      </c>
      <c r="K3027" s="13" t="str">
        <f>IFERROR(__xludf.DUMMYFUNCTION("if(isblank(B3027),,split(B3027,""-""))"),"")</f>
        <v/>
      </c>
    </row>
    <row r="3028">
      <c r="A3028" s="132"/>
      <c r="B3028" s="41"/>
      <c r="C3028" s="9"/>
      <c r="D3028" s="133"/>
      <c r="E3028" s="133"/>
      <c r="F3028" s="24"/>
      <c r="G3028" s="24"/>
      <c r="I3028" s="13" t="str">
        <f>IFERROR(__xludf.DUMMYFUNCTION("if(isblank(A3028),,split(A3028,""-""))"),"")</f>
        <v/>
      </c>
      <c r="K3028" s="13" t="str">
        <f>IFERROR(__xludf.DUMMYFUNCTION("if(isblank(B3028),,split(B3028,""-""))"),"")</f>
        <v/>
      </c>
    </row>
    <row r="3029">
      <c r="A3029" s="132"/>
      <c r="B3029" s="41"/>
      <c r="C3029" s="9"/>
      <c r="D3029" s="133"/>
      <c r="E3029" s="133"/>
      <c r="F3029" s="24"/>
      <c r="G3029" s="24"/>
      <c r="I3029" s="13" t="str">
        <f>IFERROR(__xludf.DUMMYFUNCTION("if(isblank(A3029),,split(A3029,""-""))"),"")</f>
        <v/>
      </c>
      <c r="K3029" s="13" t="str">
        <f>IFERROR(__xludf.DUMMYFUNCTION("if(isblank(B3029),,split(B3029,""-""))"),"")</f>
        <v/>
      </c>
    </row>
    <row r="3030">
      <c r="A3030" s="132"/>
      <c r="B3030" s="41"/>
      <c r="C3030" s="9"/>
      <c r="D3030" s="133"/>
      <c r="E3030" s="133"/>
      <c r="F3030" s="24"/>
      <c r="G3030" s="24"/>
      <c r="I3030" s="13" t="str">
        <f>IFERROR(__xludf.DUMMYFUNCTION("if(isblank(A3030),,split(A3030,""-""))"),"")</f>
        <v/>
      </c>
      <c r="K3030" s="13" t="str">
        <f>IFERROR(__xludf.DUMMYFUNCTION("if(isblank(B3030),,split(B3030,""-""))"),"")</f>
        <v/>
      </c>
    </row>
    <row r="3031">
      <c r="A3031" s="132"/>
      <c r="B3031" s="41"/>
      <c r="C3031" s="9"/>
      <c r="D3031" s="133"/>
      <c r="E3031" s="133"/>
      <c r="F3031" s="24"/>
      <c r="G3031" s="24"/>
      <c r="I3031" s="13" t="str">
        <f>IFERROR(__xludf.DUMMYFUNCTION("if(isblank(A3031),,split(A3031,""-""))"),"")</f>
        <v/>
      </c>
      <c r="K3031" s="13" t="str">
        <f>IFERROR(__xludf.DUMMYFUNCTION("if(isblank(B3031),,split(B3031,""-""))"),"")</f>
        <v/>
      </c>
    </row>
    <row r="3032">
      <c r="A3032" s="132"/>
      <c r="B3032" s="41"/>
      <c r="C3032" s="9"/>
      <c r="D3032" s="133"/>
      <c r="E3032" s="133"/>
      <c r="F3032" s="24"/>
      <c r="G3032" s="24"/>
      <c r="I3032" s="13" t="str">
        <f>IFERROR(__xludf.DUMMYFUNCTION("if(isblank(A3032),,split(A3032,""-""))"),"")</f>
        <v/>
      </c>
      <c r="K3032" s="13" t="str">
        <f>IFERROR(__xludf.DUMMYFUNCTION("if(isblank(B3032),,split(B3032,""-""))"),"")</f>
        <v/>
      </c>
    </row>
    <row r="3033">
      <c r="A3033" s="132"/>
      <c r="B3033" s="41"/>
      <c r="C3033" s="9"/>
      <c r="D3033" s="133"/>
      <c r="E3033" s="133"/>
      <c r="F3033" s="24"/>
      <c r="G3033" s="24"/>
      <c r="I3033" s="13" t="str">
        <f>IFERROR(__xludf.DUMMYFUNCTION("if(isblank(A3033),,split(A3033,""-""))"),"")</f>
        <v/>
      </c>
      <c r="K3033" s="13" t="str">
        <f>IFERROR(__xludf.DUMMYFUNCTION("if(isblank(B3033),,split(B3033,""-""))"),"")</f>
        <v/>
      </c>
    </row>
    <row r="3034">
      <c r="A3034" s="132"/>
      <c r="B3034" s="41"/>
      <c r="C3034" s="9"/>
      <c r="D3034" s="133"/>
      <c r="E3034" s="133"/>
      <c r="F3034" s="24"/>
      <c r="G3034" s="24"/>
      <c r="I3034" s="13" t="str">
        <f>IFERROR(__xludf.DUMMYFUNCTION("if(isblank(A3034),,split(A3034,""-""))"),"")</f>
        <v/>
      </c>
      <c r="K3034" s="13" t="str">
        <f>IFERROR(__xludf.DUMMYFUNCTION("if(isblank(B3034),,split(B3034,""-""))"),"")</f>
        <v/>
      </c>
    </row>
    <row r="3035">
      <c r="A3035" s="132"/>
      <c r="B3035" s="41"/>
      <c r="C3035" s="9"/>
      <c r="D3035" s="133"/>
      <c r="E3035" s="133"/>
      <c r="F3035" s="24"/>
      <c r="G3035" s="24"/>
      <c r="I3035" s="13" t="str">
        <f>IFERROR(__xludf.DUMMYFUNCTION("if(isblank(A3035),,split(A3035,""-""))"),"")</f>
        <v/>
      </c>
      <c r="K3035" s="13" t="str">
        <f>IFERROR(__xludf.DUMMYFUNCTION("if(isblank(B3035),,split(B3035,""-""))"),"")</f>
        <v/>
      </c>
    </row>
    <row r="3036">
      <c r="A3036" s="132"/>
      <c r="B3036" s="41"/>
      <c r="C3036" s="9"/>
      <c r="D3036" s="133"/>
      <c r="E3036" s="133"/>
      <c r="F3036" s="24"/>
      <c r="G3036" s="24"/>
      <c r="I3036" s="13" t="str">
        <f>IFERROR(__xludf.DUMMYFUNCTION("if(isblank(A3036),,split(A3036,""-""))"),"")</f>
        <v/>
      </c>
      <c r="K3036" s="13" t="str">
        <f>IFERROR(__xludf.DUMMYFUNCTION("if(isblank(B3036),,split(B3036,""-""))"),"")</f>
        <v/>
      </c>
    </row>
    <row r="3037">
      <c r="A3037" s="132"/>
      <c r="B3037" s="41"/>
      <c r="C3037" s="9"/>
      <c r="D3037" s="133"/>
      <c r="E3037" s="133"/>
      <c r="F3037" s="24"/>
      <c r="G3037" s="24"/>
      <c r="I3037" s="13" t="str">
        <f>IFERROR(__xludf.DUMMYFUNCTION("if(isblank(A3037),,split(A3037,""-""))"),"")</f>
        <v/>
      </c>
      <c r="K3037" s="13" t="str">
        <f>IFERROR(__xludf.DUMMYFUNCTION("if(isblank(B3037),,split(B3037,""-""))"),"")</f>
        <v/>
      </c>
    </row>
    <row r="3038">
      <c r="A3038" s="132"/>
      <c r="B3038" s="41"/>
      <c r="C3038" s="9"/>
      <c r="D3038" s="133"/>
      <c r="E3038" s="133"/>
      <c r="F3038" s="24"/>
      <c r="G3038" s="24"/>
      <c r="I3038" s="13" t="str">
        <f>IFERROR(__xludf.DUMMYFUNCTION("if(isblank(A3038),,split(A3038,""-""))"),"")</f>
        <v/>
      </c>
      <c r="K3038" s="13" t="str">
        <f>IFERROR(__xludf.DUMMYFUNCTION("if(isblank(B3038),,split(B3038,""-""))"),"")</f>
        <v/>
      </c>
    </row>
    <row r="3039">
      <c r="A3039" s="132"/>
      <c r="B3039" s="41"/>
      <c r="C3039" s="9"/>
      <c r="D3039" s="133"/>
      <c r="E3039" s="133"/>
      <c r="F3039" s="24"/>
      <c r="G3039" s="24"/>
      <c r="I3039" s="13" t="str">
        <f>IFERROR(__xludf.DUMMYFUNCTION("if(isblank(A3039),,split(A3039,""-""))"),"")</f>
        <v/>
      </c>
      <c r="K3039" s="13" t="str">
        <f>IFERROR(__xludf.DUMMYFUNCTION("if(isblank(B3039),,split(B3039,""-""))"),"")</f>
        <v/>
      </c>
    </row>
    <row r="3040">
      <c r="A3040" s="132"/>
      <c r="B3040" s="41"/>
      <c r="C3040" s="9"/>
      <c r="D3040" s="133"/>
      <c r="E3040" s="133"/>
      <c r="F3040" s="24"/>
      <c r="G3040" s="24"/>
      <c r="I3040" s="13" t="str">
        <f>IFERROR(__xludf.DUMMYFUNCTION("if(isblank(A3040),,split(A3040,""-""))"),"")</f>
        <v/>
      </c>
      <c r="K3040" s="13" t="str">
        <f>IFERROR(__xludf.DUMMYFUNCTION("if(isblank(B3040),,split(B3040,""-""))"),"")</f>
        <v/>
      </c>
    </row>
    <row r="3041">
      <c r="A3041" s="132"/>
      <c r="B3041" s="41"/>
      <c r="C3041" s="9"/>
      <c r="D3041" s="133"/>
      <c r="E3041" s="133"/>
      <c r="F3041" s="24"/>
      <c r="G3041" s="24"/>
      <c r="I3041" s="13" t="str">
        <f>IFERROR(__xludf.DUMMYFUNCTION("if(isblank(A3041),,split(A3041,""-""))"),"")</f>
        <v/>
      </c>
      <c r="K3041" s="13" t="str">
        <f>IFERROR(__xludf.DUMMYFUNCTION("if(isblank(B3041),,split(B3041,""-""))"),"")</f>
        <v/>
      </c>
    </row>
    <row r="3042">
      <c r="A3042" s="132"/>
      <c r="B3042" s="41"/>
      <c r="C3042" s="9"/>
      <c r="D3042" s="133"/>
      <c r="E3042" s="133"/>
      <c r="F3042" s="24"/>
      <c r="G3042" s="24"/>
      <c r="I3042" s="13" t="str">
        <f>IFERROR(__xludf.DUMMYFUNCTION("if(isblank(A3042),,split(A3042,""-""))"),"")</f>
        <v/>
      </c>
      <c r="K3042" s="13" t="str">
        <f>IFERROR(__xludf.DUMMYFUNCTION("if(isblank(B3042),,split(B3042,""-""))"),"")</f>
        <v/>
      </c>
    </row>
    <row r="3043">
      <c r="A3043" s="132"/>
      <c r="B3043" s="41"/>
      <c r="C3043" s="9"/>
      <c r="D3043" s="133"/>
      <c r="E3043" s="133"/>
      <c r="F3043" s="24"/>
      <c r="G3043" s="24"/>
      <c r="I3043" s="13" t="str">
        <f>IFERROR(__xludf.DUMMYFUNCTION("if(isblank(A3043),,split(A3043,""-""))"),"")</f>
        <v/>
      </c>
      <c r="K3043" s="13" t="str">
        <f>IFERROR(__xludf.DUMMYFUNCTION("if(isblank(B3043),,split(B3043,""-""))"),"")</f>
        <v/>
      </c>
    </row>
    <row r="3044">
      <c r="A3044" s="132"/>
      <c r="B3044" s="41"/>
      <c r="C3044" s="9"/>
      <c r="D3044" s="133"/>
      <c r="E3044" s="133"/>
      <c r="F3044" s="24"/>
      <c r="G3044" s="24"/>
      <c r="I3044" s="13" t="str">
        <f>IFERROR(__xludf.DUMMYFUNCTION("if(isblank(A3044),,split(A3044,""-""))"),"")</f>
        <v/>
      </c>
      <c r="K3044" s="13" t="str">
        <f>IFERROR(__xludf.DUMMYFUNCTION("if(isblank(B3044),,split(B3044,""-""))"),"")</f>
        <v/>
      </c>
    </row>
    <row r="3045">
      <c r="A3045" s="132"/>
      <c r="B3045" s="41"/>
      <c r="C3045" s="9"/>
      <c r="D3045" s="133"/>
      <c r="E3045" s="133"/>
      <c r="F3045" s="24"/>
      <c r="G3045" s="24"/>
      <c r="I3045" s="13" t="str">
        <f>IFERROR(__xludf.DUMMYFUNCTION("if(isblank(A3045),,split(A3045,""-""))"),"")</f>
        <v/>
      </c>
      <c r="K3045" s="13" t="str">
        <f>IFERROR(__xludf.DUMMYFUNCTION("if(isblank(B3045),,split(B3045,""-""))"),"")</f>
        <v/>
      </c>
    </row>
    <row r="3046">
      <c r="A3046" s="132"/>
      <c r="B3046" s="41"/>
      <c r="C3046" s="9"/>
      <c r="D3046" s="133"/>
      <c r="E3046" s="133"/>
      <c r="F3046" s="24"/>
      <c r="G3046" s="24"/>
      <c r="I3046" s="13" t="str">
        <f>IFERROR(__xludf.DUMMYFUNCTION("if(isblank(A3046),,split(A3046,""-""))"),"")</f>
        <v/>
      </c>
      <c r="K3046" s="13" t="str">
        <f>IFERROR(__xludf.DUMMYFUNCTION("if(isblank(B3046),,split(B3046,""-""))"),"")</f>
        <v/>
      </c>
    </row>
    <row r="3047">
      <c r="A3047" s="132"/>
      <c r="B3047" s="41"/>
      <c r="C3047" s="9"/>
      <c r="D3047" s="133"/>
      <c r="E3047" s="133"/>
      <c r="F3047" s="24"/>
      <c r="G3047" s="24"/>
      <c r="I3047" s="13" t="str">
        <f>IFERROR(__xludf.DUMMYFUNCTION("if(isblank(A3047),,split(A3047,""-""))"),"")</f>
        <v/>
      </c>
      <c r="K3047" s="13" t="str">
        <f>IFERROR(__xludf.DUMMYFUNCTION("if(isblank(B3047),,split(B3047,""-""))"),"")</f>
        <v/>
      </c>
    </row>
    <row r="3048">
      <c r="A3048" s="132"/>
      <c r="B3048" s="41"/>
      <c r="C3048" s="9"/>
      <c r="D3048" s="133"/>
      <c r="E3048" s="133"/>
      <c r="F3048" s="24"/>
      <c r="G3048" s="24"/>
      <c r="I3048" s="13" t="str">
        <f>IFERROR(__xludf.DUMMYFUNCTION("if(isblank(A3048),,split(A3048,""-""))"),"")</f>
        <v/>
      </c>
      <c r="K3048" s="13" t="str">
        <f>IFERROR(__xludf.DUMMYFUNCTION("if(isblank(B3048),,split(B3048,""-""))"),"")</f>
        <v/>
      </c>
    </row>
    <row r="3049">
      <c r="A3049" s="132"/>
      <c r="B3049" s="41"/>
      <c r="C3049" s="9"/>
      <c r="D3049" s="133"/>
      <c r="E3049" s="133"/>
      <c r="F3049" s="24"/>
      <c r="G3049" s="24"/>
      <c r="I3049" s="13" t="str">
        <f>IFERROR(__xludf.DUMMYFUNCTION("if(isblank(A3049),,split(A3049,""-""))"),"")</f>
        <v/>
      </c>
      <c r="K3049" s="13" t="str">
        <f>IFERROR(__xludf.DUMMYFUNCTION("if(isblank(B3049),,split(B3049,""-""))"),"")</f>
        <v/>
      </c>
    </row>
    <row r="3050">
      <c r="A3050" s="132"/>
      <c r="B3050" s="41"/>
      <c r="C3050" s="9"/>
      <c r="D3050" s="133"/>
      <c r="E3050" s="133"/>
      <c r="F3050" s="24"/>
      <c r="G3050" s="24"/>
      <c r="I3050" s="13" t="str">
        <f>IFERROR(__xludf.DUMMYFUNCTION("if(isblank(A3050),,split(A3050,""-""))"),"")</f>
        <v/>
      </c>
      <c r="K3050" s="13" t="str">
        <f>IFERROR(__xludf.DUMMYFUNCTION("if(isblank(B3050),,split(B3050,""-""))"),"")</f>
        <v/>
      </c>
    </row>
    <row r="3051">
      <c r="A3051" s="132"/>
      <c r="B3051" s="41"/>
      <c r="C3051" s="9"/>
      <c r="D3051" s="133"/>
      <c r="E3051" s="133"/>
      <c r="F3051" s="24"/>
      <c r="G3051" s="24"/>
      <c r="I3051" s="13" t="str">
        <f>IFERROR(__xludf.DUMMYFUNCTION("if(isblank(A3051),,split(A3051,""-""))"),"")</f>
        <v/>
      </c>
      <c r="K3051" s="13" t="str">
        <f>IFERROR(__xludf.DUMMYFUNCTION("if(isblank(B3051),,split(B3051,""-""))"),"")</f>
        <v/>
      </c>
    </row>
    <row r="3052">
      <c r="A3052" s="132"/>
      <c r="B3052" s="41"/>
      <c r="C3052" s="9"/>
      <c r="D3052" s="133"/>
      <c r="E3052" s="133"/>
      <c r="F3052" s="24"/>
      <c r="G3052" s="24"/>
      <c r="I3052" s="13" t="str">
        <f>IFERROR(__xludf.DUMMYFUNCTION("if(isblank(A3052),,split(A3052,""-""))"),"")</f>
        <v/>
      </c>
      <c r="K3052" s="13" t="str">
        <f>IFERROR(__xludf.DUMMYFUNCTION("if(isblank(B3052),,split(B3052,""-""))"),"")</f>
        <v/>
      </c>
    </row>
    <row r="3053">
      <c r="A3053" s="132"/>
      <c r="B3053" s="41"/>
      <c r="C3053" s="9"/>
      <c r="D3053" s="133"/>
      <c r="E3053" s="133"/>
      <c r="F3053" s="24"/>
      <c r="G3053" s="24"/>
      <c r="I3053" s="13" t="str">
        <f>IFERROR(__xludf.DUMMYFUNCTION("if(isblank(A3053),,split(A3053,""-""))"),"")</f>
        <v/>
      </c>
      <c r="K3053" s="13" t="str">
        <f>IFERROR(__xludf.DUMMYFUNCTION("if(isblank(B3053),,split(B3053,""-""))"),"")</f>
        <v/>
      </c>
    </row>
    <row r="3054">
      <c r="A3054" s="132"/>
      <c r="B3054" s="41"/>
      <c r="C3054" s="9"/>
      <c r="D3054" s="133"/>
      <c r="E3054" s="133"/>
      <c r="F3054" s="24"/>
      <c r="G3054" s="24"/>
      <c r="I3054" s="13" t="str">
        <f>IFERROR(__xludf.DUMMYFUNCTION("if(isblank(A3054),,split(A3054,""-""))"),"")</f>
        <v/>
      </c>
      <c r="K3054" s="13" t="str">
        <f>IFERROR(__xludf.DUMMYFUNCTION("if(isblank(B3054),,split(B3054,""-""))"),"")</f>
        <v/>
      </c>
    </row>
    <row r="3055">
      <c r="A3055" s="132"/>
      <c r="B3055" s="41"/>
      <c r="C3055" s="9"/>
      <c r="D3055" s="133"/>
      <c r="E3055" s="133"/>
      <c r="F3055" s="24"/>
      <c r="G3055" s="24"/>
      <c r="I3055" s="13" t="str">
        <f>IFERROR(__xludf.DUMMYFUNCTION("if(isblank(A3055),,split(A3055,""-""))"),"")</f>
        <v/>
      </c>
      <c r="K3055" s="13" t="str">
        <f>IFERROR(__xludf.DUMMYFUNCTION("if(isblank(B3055),,split(B3055,""-""))"),"")</f>
        <v/>
      </c>
    </row>
    <row r="3056">
      <c r="A3056" s="132"/>
      <c r="B3056" s="41"/>
      <c r="C3056" s="9"/>
      <c r="D3056" s="133"/>
      <c r="E3056" s="133"/>
      <c r="F3056" s="24"/>
      <c r="G3056" s="24"/>
      <c r="I3056" s="13" t="str">
        <f>IFERROR(__xludf.DUMMYFUNCTION("if(isblank(A3056),,split(A3056,""-""))"),"")</f>
        <v/>
      </c>
      <c r="K3056" s="13" t="str">
        <f>IFERROR(__xludf.DUMMYFUNCTION("if(isblank(B3056),,split(B3056,""-""))"),"")</f>
        <v/>
      </c>
    </row>
    <row r="3057">
      <c r="A3057" s="132"/>
      <c r="B3057" s="41"/>
      <c r="C3057" s="9"/>
      <c r="D3057" s="133"/>
      <c r="E3057" s="133"/>
      <c r="F3057" s="24"/>
      <c r="G3057" s="24"/>
      <c r="I3057" s="13" t="str">
        <f>IFERROR(__xludf.DUMMYFUNCTION("if(isblank(A3057),,split(A3057,""-""))"),"")</f>
        <v/>
      </c>
      <c r="K3057" s="13" t="str">
        <f>IFERROR(__xludf.DUMMYFUNCTION("if(isblank(B3057),,split(B3057,""-""))"),"")</f>
        <v/>
      </c>
    </row>
    <row r="3058">
      <c r="A3058" s="132"/>
      <c r="B3058" s="41"/>
      <c r="C3058" s="9"/>
      <c r="D3058" s="133"/>
      <c r="E3058" s="133"/>
      <c r="F3058" s="24"/>
      <c r="G3058" s="24"/>
      <c r="I3058" s="13" t="str">
        <f>IFERROR(__xludf.DUMMYFUNCTION("if(isblank(A3058),,split(A3058,""-""))"),"")</f>
        <v/>
      </c>
      <c r="K3058" s="13" t="str">
        <f>IFERROR(__xludf.DUMMYFUNCTION("if(isblank(B3058),,split(B3058,""-""))"),"")</f>
        <v/>
      </c>
    </row>
    <row r="3059">
      <c r="A3059" s="132"/>
      <c r="B3059" s="41"/>
      <c r="C3059" s="9"/>
      <c r="D3059" s="133"/>
      <c r="E3059" s="133"/>
      <c r="F3059" s="24"/>
      <c r="G3059" s="24"/>
      <c r="I3059" s="13" t="str">
        <f>IFERROR(__xludf.DUMMYFUNCTION("if(isblank(A3059),,split(A3059,""-""))"),"")</f>
        <v/>
      </c>
      <c r="K3059" s="13" t="str">
        <f>IFERROR(__xludf.DUMMYFUNCTION("if(isblank(B3059),,split(B3059,""-""))"),"")</f>
        <v/>
      </c>
    </row>
    <row r="3060">
      <c r="A3060" s="132"/>
      <c r="B3060" s="41"/>
      <c r="C3060" s="9"/>
      <c r="D3060" s="133"/>
      <c r="E3060" s="133"/>
      <c r="F3060" s="24"/>
      <c r="G3060" s="24"/>
      <c r="I3060" s="13" t="str">
        <f>IFERROR(__xludf.DUMMYFUNCTION("if(isblank(A3060),,split(A3060,""-""))"),"")</f>
        <v/>
      </c>
      <c r="K3060" s="13" t="str">
        <f>IFERROR(__xludf.DUMMYFUNCTION("if(isblank(B3060),,split(B3060,""-""))"),"")</f>
        <v/>
      </c>
    </row>
    <row r="3061">
      <c r="A3061" s="132"/>
      <c r="B3061" s="41"/>
      <c r="C3061" s="9"/>
      <c r="D3061" s="133"/>
      <c r="E3061" s="133"/>
      <c r="F3061" s="24"/>
      <c r="G3061" s="24"/>
      <c r="I3061" s="13" t="str">
        <f>IFERROR(__xludf.DUMMYFUNCTION("if(isblank(A3061),,split(A3061,""-""))"),"")</f>
        <v/>
      </c>
      <c r="K3061" s="13" t="str">
        <f>IFERROR(__xludf.DUMMYFUNCTION("if(isblank(B3061),,split(B3061,""-""))"),"")</f>
        <v/>
      </c>
    </row>
    <row r="3062">
      <c r="A3062" s="132"/>
      <c r="B3062" s="41"/>
      <c r="C3062" s="9"/>
      <c r="D3062" s="133"/>
      <c r="E3062" s="133"/>
      <c r="F3062" s="24"/>
      <c r="G3062" s="24"/>
      <c r="I3062" s="13" t="str">
        <f>IFERROR(__xludf.DUMMYFUNCTION("if(isblank(A3062),,split(A3062,""-""))"),"")</f>
        <v/>
      </c>
      <c r="K3062" s="13" t="str">
        <f>IFERROR(__xludf.DUMMYFUNCTION("if(isblank(B3062),,split(B3062,""-""))"),"")</f>
        <v/>
      </c>
    </row>
    <row r="3063">
      <c r="A3063" s="132"/>
      <c r="B3063" s="41"/>
      <c r="C3063" s="9"/>
      <c r="D3063" s="133"/>
      <c r="E3063" s="133"/>
      <c r="F3063" s="24"/>
      <c r="G3063" s="24"/>
      <c r="I3063" s="13" t="str">
        <f>IFERROR(__xludf.DUMMYFUNCTION("if(isblank(A3063),,split(A3063,""-""))"),"")</f>
        <v/>
      </c>
      <c r="K3063" s="13" t="str">
        <f>IFERROR(__xludf.DUMMYFUNCTION("if(isblank(B3063),,split(B3063,""-""))"),"")</f>
        <v/>
      </c>
    </row>
    <row r="3064">
      <c r="A3064" s="132"/>
      <c r="B3064" s="41"/>
      <c r="C3064" s="9"/>
      <c r="D3064" s="133"/>
      <c r="E3064" s="133"/>
      <c r="F3064" s="24"/>
      <c r="G3064" s="24"/>
      <c r="I3064" s="13" t="str">
        <f>IFERROR(__xludf.DUMMYFUNCTION("if(isblank(A3064),,split(A3064,""-""))"),"")</f>
        <v/>
      </c>
      <c r="K3064" s="13" t="str">
        <f>IFERROR(__xludf.DUMMYFUNCTION("if(isblank(B3064),,split(B3064,""-""))"),"")</f>
        <v/>
      </c>
    </row>
    <row r="3065">
      <c r="A3065" s="132"/>
      <c r="B3065" s="41"/>
      <c r="C3065" s="9"/>
      <c r="D3065" s="133"/>
      <c r="E3065" s="133"/>
      <c r="F3065" s="24"/>
      <c r="G3065" s="24"/>
      <c r="I3065" s="13" t="str">
        <f>IFERROR(__xludf.DUMMYFUNCTION("if(isblank(A3065),,split(A3065,""-""))"),"")</f>
        <v/>
      </c>
      <c r="K3065" s="13" t="str">
        <f>IFERROR(__xludf.DUMMYFUNCTION("if(isblank(B3065),,split(B3065,""-""))"),"")</f>
        <v/>
      </c>
    </row>
    <row r="3066">
      <c r="A3066" s="132"/>
      <c r="B3066" s="41"/>
      <c r="C3066" s="9"/>
      <c r="D3066" s="133"/>
      <c r="E3066" s="133"/>
      <c r="F3066" s="24"/>
      <c r="G3066" s="24"/>
      <c r="I3066" s="13" t="str">
        <f>IFERROR(__xludf.DUMMYFUNCTION("if(isblank(A3066),,split(A3066,""-""))"),"")</f>
        <v/>
      </c>
      <c r="K3066" s="13" t="str">
        <f>IFERROR(__xludf.DUMMYFUNCTION("if(isblank(B3066),,split(B3066,""-""))"),"")</f>
        <v/>
      </c>
    </row>
    <row r="3067">
      <c r="A3067" s="132"/>
      <c r="B3067" s="41"/>
      <c r="C3067" s="9"/>
      <c r="D3067" s="133"/>
      <c r="E3067" s="133"/>
      <c r="F3067" s="24"/>
      <c r="G3067" s="24"/>
      <c r="I3067" s="13" t="str">
        <f>IFERROR(__xludf.DUMMYFUNCTION("if(isblank(A3067),,split(A3067,""-""))"),"")</f>
        <v/>
      </c>
      <c r="K3067" s="13" t="str">
        <f>IFERROR(__xludf.DUMMYFUNCTION("if(isblank(B3067),,split(B3067,""-""))"),"")</f>
        <v/>
      </c>
    </row>
    <row r="3068">
      <c r="A3068" s="132"/>
      <c r="B3068" s="41"/>
      <c r="C3068" s="9"/>
      <c r="D3068" s="133"/>
      <c r="E3068" s="133"/>
      <c r="F3068" s="24"/>
      <c r="G3068" s="24"/>
      <c r="I3068" s="13" t="str">
        <f>IFERROR(__xludf.DUMMYFUNCTION("if(isblank(A3068),,split(A3068,""-""))"),"")</f>
        <v/>
      </c>
      <c r="K3068" s="13" t="str">
        <f>IFERROR(__xludf.DUMMYFUNCTION("if(isblank(B3068),,split(B3068,""-""))"),"")</f>
        <v/>
      </c>
    </row>
    <row r="3069">
      <c r="A3069" s="132"/>
      <c r="B3069" s="41"/>
      <c r="C3069" s="9"/>
      <c r="D3069" s="133"/>
      <c r="E3069" s="133"/>
      <c r="F3069" s="24"/>
      <c r="G3069" s="24"/>
      <c r="I3069" s="13" t="str">
        <f>IFERROR(__xludf.DUMMYFUNCTION("if(isblank(A3069),,split(A3069,""-""))"),"")</f>
        <v/>
      </c>
      <c r="K3069" s="13" t="str">
        <f>IFERROR(__xludf.DUMMYFUNCTION("if(isblank(B3069),,split(B3069,""-""))"),"")</f>
        <v/>
      </c>
    </row>
    <row r="3070">
      <c r="A3070" s="132"/>
      <c r="B3070" s="41"/>
      <c r="C3070" s="9"/>
      <c r="D3070" s="133"/>
      <c r="E3070" s="133"/>
      <c r="F3070" s="24"/>
      <c r="G3070" s="24"/>
      <c r="I3070" s="13" t="str">
        <f>IFERROR(__xludf.DUMMYFUNCTION("if(isblank(A3070),,split(A3070,""-""))"),"")</f>
        <v/>
      </c>
      <c r="K3070" s="13" t="str">
        <f>IFERROR(__xludf.DUMMYFUNCTION("if(isblank(B3070),,split(B3070,""-""))"),"")</f>
        <v/>
      </c>
    </row>
    <row r="3071">
      <c r="A3071" s="132"/>
      <c r="B3071" s="41"/>
      <c r="C3071" s="9"/>
      <c r="D3071" s="133"/>
      <c r="E3071" s="133"/>
      <c r="F3071" s="24"/>
      <c r="G3071" s="24"/>
      <c r="I3071" s="13" t="str">
        <f>IFERROR(__xludf.DUMMYFUNCTION("if(isblank(A3071),,split(A3071,""-""))"),"")</f>
        <v/>
      </c>
      <c r="K3071" s="13" t="str">
        <f>IFERROR(__xludf.DUMMYFUNCTION("if(isblank(B3071),,split(B3071,""-""))"),"")</f>
        <v/>
      </c>
    </row>
    <row r="3072">
      <c r="A3072" s="132"/>
      <c r="B3072" s="41"/>
      <c r="C3072" s="9"/>
      <c r="D3072" s="133"/>
      <c r="E3072" s="133"/>
      <c r="F3072" s="24"/>
      <c r="G3072" s="24"/>
      <c r="I3072" s="13" t="str">
        <f>IFERROR(__xludf.DUMMYFUNCTION("if(isblank(A3072),,split(A3072,""-""))"),"")</f>
        <v/>
      </c>
      <c r="K3072" s="13" t="str">
        <f>IFERROR(__xludf.DUMMYFUNCTION("if(isblank(B3072),,split(B3072,""-""))"),"")</f>
        <v/>
      </c>
    </row>
    <row r="3073">
      <c r="A3073" s="132"/>
      <c r="B3073" s="41"/>
      <c r="C3073" s="9"/>
      <c r="D3073" s="133"/>
      <c r="E3073" s="133"/>
      <c r="F3073" s="24"/>
      <c r="G3073" s="24"/>
      <c r="I3073" s="13" t="str">
        <f>IFERROR(__xludf.DUMMYFUNCTION("if(isblank(A3073),,split(A3073,""-""))"),"")</f>
        <v/>
      </c>
      <c r="K3073" s="13" t="str">
        <f>IFERROR(__xludf.DUMMYFUNCTION("if(isblank(B3073),,split(B3073,""-""))"),"")</f>
        <v/>
      </c>
    </row>
    <row r="3074">
      <c r="A3074" s="132"/>
      <c r="B3074" s="41"/>
      <c r="C3074" s="9"/>
      <c r="D3074" s="133"/>
      <c r="E3074" s="133"/>
      <c r="F3074" s="24"/>
      <c r="G3074" s="24"/>
      <c r="I3074" s="13" t="str">
        <f>IFERROR(__xludf.DUMMYFUNCTION("if(isblank(A3074),,split(A3074,""-""))"),"")</f>
        <v/>
      </c>
      <c r="K3074" s="13" t="str">
        <f>IFERROR(__xludf.DUMMYFUNCTION("if(isblank(B3074),,split(B3074,""-""))"),"")</f>
        <v/>
      </c>
    </row>
    <row r="3075">
      <c r="A3075" s="132"/>
      <c r="B3075" s="41"/>
      <c r="C3075" s="9"/>
      <c r="D3075" s="133"/>
      <c r="E3075" s="133"/>
      <c r="F3075" s="24"/>
      <c r="G3075" s="24"/>
      <c r="I3075" s="13" t="str">
        <f>IFERROR(__xludf.DUMMYFUNCTION("if(isblank(A3075),,split(A3075,""-""))"),"")</f>
        <v/>
      </c>
      <c r="K3075" s="13" t="str">
        <f>IFERROR(__xludf.DUMMYFUNCTION("if(isblank(B3075),,split(B3075,""-""))"),"")</f>
        <v/>
      </c>
    </row>
    <row r="3076">
      <c r="A3076" s="132"/>
      <c r="B3076" s="41"/>
      <c r="C3076" s="9"/>
      <c r="D3076" s="133"/>
      <c r="E3076" s="133"/>
      <c r="F3076" s="24"/>
      <c r="G3076" s="24"/>
      <c r="I3076" s="13" t="str">
        <f>IFERROR(__xludf.DUMMYFUNCTION("if(isblank(A3076),,split(A3076,""-""))"),"")</f>
        <v/>
      </c>
      <c r="K3076" s="13" t="str">
        <f>IFERROR(__xludf.DUMMYFUNCTION("if(isblank(B3076),,split(B3076,""-""))"),"")</f>
        <v/>
      </c>
    </row>
    <row r="3077">
      <c r="A3077" s="132"/>
      <c r="B3077" s="41"/>
      <c r="C3077" s="9"/>
      <c r="D3077" s="133"/>
      <c r="E3077" s="133"/>
      <c r="F3077" s="24"/>
      <c r="G3077" s="24"/>
      <c r="I3077" s="13" t="str">
        <f>IFERROR(__xludf.DUMMYFUNCTION("if(isblank(A3077),,split(A3077,""-""))"),"")</f>
        <v/>
      </c>
      <c r="K3077" s="13" t="str">
        <f>IFERROR(__xludf.DUMMYFUNCTION("if(isblank(B3077),,split(B3077,""-""))"),"")</f>
        <v/>
      </c>
    </row>
    <row r="3078">
      <c r="A3078" s="132"/>
      <c r="B3078" s="41"/>
      <c r="C3078" s="9"/>
      <c r="D3078" s="133"/>
      <c r="E3078" s="133"/>
      <c r="F3078" s="24"/>
      <c r="G3078" s="24"/>
      <c r="I3078" s="13" t="str">
        <f>IFERROR(__xludf.DUMMYFUNCTION("if(isblank(A3078),,split(A3078,""-""))"),"")</f>
        <v/>
      </c>
      <c r="K3078" s="13" t="str">
        <f>IFERROR(__xludf.DUMMYFUNCTION("if(isblank(B3078),,split(B3078,""-""))"),"")</f>
        <v/>
      </c>
    </row>
    <row r="3079">
      <c r="A3079" s="132"/>
      <c r="B3079" s="41"/>
      <c r="C3079" s="9"/>
      <c r="D3079" s="133"/>
      <c r="E3079" s="133"/>
      <c r="F3079" s="24"/>
      <c r="G3079" s="24"/>
      <c r="I3079" s="13" t="str">
        <f>IFERROR(__xludf.DUMMYFUNCTION("if(isblank(A3079),,split(A3079,""-""))"),"")</f>
        <v/>
      </c>
      <c r="K3079" s="13" t="str">
        <f>IFERROR(__xludf.DUMMYFUNCTION("if(isblank(B3079),,split(B3079,""-""))"),"")</f>
        <v/>
      </c>
    </row>
    <row r="3080">
      <c r="A3080" s="132"/>
      <c r="B3080" s="41"/>
      <c r="C3080" s="9"/>
      <c r="D3080" s="133"/>
      <c r="E3080" s="133"/>
      <c r="F3080" s="24"/>
      <c r="G3080" s="24"/>
      <c r="I3080" s="13" t="str">
        <f>IFERROR(__xludf.DUMMYFUNCTION("if(isblank(A3080),,split(A3080,""-""))"),"")</f>
        <v/>
      </c>
      <c r="K3080" s="13" t="str">
        <f>IFERROR(__xludf.DUMMYFUNCTION("if(isblank(B3080),,split(B3080,""-""))"),"")</f>
        <v/>
      </c>
    </row>
    <row r="3081">
      <c r="A3081" s="132"/>
      <c r="B3081" s="41"/>
      <c r="C3081" s="9"/>
      <c r="D3081" s="133"/>
      <c r="E3081" s="133"/>
      <c r="F3081" s="24"/>
      <c r="G3081" s="24"/>
      <c r="I3081" s="13" t="str">
        <f>IFERROR(__xludf.DUMMYFUNCTION("if(isblank(A3081),,split(A3081,""-""))"),"")</f>
        <v/>
      </c>
      <c r="K3081" s="13" t="str">
        <f>IFERROR(__xludf.DUMMYFUNCTION("if(isblank(B3081),,split(B3081,""-""))"),"")</f>
        <v/>
      </c>
    </row>
    <row r="3082">
      <c r="A3082" s="132"/>
      <c r="B3082" s="41"/>
      <c r="C3082" s="9"/>
      <c r="D3082" s="133"/>
      <c r="E3082" s="133"/>
      <c r="F3082" s="24"/>
      <c r="G3082" s="24"/>
      <c r="I3082" s="13" t="str">
        <f>IFERROR(__xludf.DUMMYFUNCTION("if(isblank(A3082),,split(A3082,""-""))"),"")</f>
        <v/>
      </c>
      <c r="K3082" s="13" t="str">
        <f>IFERROR(__xludf.DUMMYFUNCTION("if(isblank(B3082),,split(B3082,""-""))"),"")</f>
        <v/>
      </c>
    </row>
    <row r="3083">
      <c r="A3083" s="132"/>
      <c r="B3083" s="41"/>
      <c r="C3083" s="9"/>
      <c r="D3083" s="133"/>
      <c r="E3083" s="133"/>
      <c r="F3083" s="24"/>
      <c r="G3083" s="24"/>
      <c r="I3083" s="13" t="str">
        <f>IFERROR(__xludf.DUMMYFUNCTION("if(isblank(A3083),,split(A3083,""-""))"),"")</f>
        <v/>
      </c>
      <c r="K3083" s="13" t="str">
        <f>IFERROR(__xludf.DUMMYFUNCTION("if(isblank(B3083),,split(B3083,""-""))"),"")</f>
        <v/>
      </c>
    </row>
    <row r="3084">
      <c r="A3084" s="132"/>
      <c r="B3084" s="41"/>
      <c r="C3084" s="9"/>
      <c r="D3084" s="133"/>
      <c r="E3084" s="133"/>
      <c r="F3084" s="24"/>
      <c r="G3084" s="24"/>
      <c r="I3084" s="13" t="str">
        <f>IFERROR(__xludf.DUMMYFUNCTION("if(isblank(A3084),,split(A3084,""-""))"),"")</f>
        <v/>
      </c>
      <c r="K3084" s="13" t="str">
        <f>IFERROR(__xludf.DUMMYFUNCTION("if(isblank(B3084),,split(B3084,""-""))"),"")</f>
        <v/>
      </c>
    </row>
    <row r="3085">
      <c r="A3085" s="132"/>
      <c r="B3085" s="41"/>
      <c r="C3085" s="9"/>
      <c r="D3085" s="133"/>
      <c r="E3085" s="133"/>
      <c r="F3085" s="24"/>
      <c r="G3085" s="24"/>
      <c r="I3085" s="13" t="str">
        <f>IFERROR(__xludf.DUMMYFUNCTION("if(isblank(A3085),,split(A3085,""-""))"),"")</f>
        <v/>
      </c>
      <c r="K3085" s="13" t="str">
        <f>IFERROR(__xludf.DUMMYFUNCTION("if(isblank(B3085),,split(B3085,""-""))"),"")</f>
        <v/>
      </c>
    </row>
    <row r="3086">
      <c r="A3086" s="132"/>
      <c r="B3086" s="41"/>
      <c r="C3086" s="9"/>
      <c r="D3086" s="133"/>
      <c r="E3086" s="133"/>
      <c r="F3086" s="24"/>
      <c r="G3086" s="24"/>
      <c r="I3086" s="13" t="str">
        <f>IFERROR(__xludf.DUMMYFUNCTION("if(isblank(A3086),,split(A3086,""-""))"),"")</f>
        <v/>
      </c>
      <c r="K3086" s="13" t="str">
        <f>IFERROR(__xludf.DUMMYFUNCTION("if(isblank(B3086),,split(B3086,""-""))"),"")</f>
        <v/>
      </c>
    </row>
    <row r="3087">
      <c r="A3087" s="132"/>
      <c r="B3087" s="41"/>
      <c r="C3087" s="9"/>
      <c r="D3087" s="133"/>
      <c r="E3087" s="133"/>
      <c r="F3087" s="24"/>
      <c r="G3087" s="24"/>
      <c r="I3087" s="13" t="str">
        <f>IFERROR(__xludf.DUMMYFUNCTION("if(isblank(A3087),,split(A3087,""-""))"),"")</f>
        <v/>
      </c>
      <c r="K3087" s="13" t="str">
        <f>IFERROR(__xludf.DUMMYFUNCTION("if(isblank(B3087),,split(B3087,""-""))"),"")</f>
        <v/>
      </c>
    </row>
    <row r="3088">
      <c r="A3088" s="132"/>
      <c r="B3088" s="41"/>
      <c r="C3088" s="9"/>
      <c r="D3088" s="133"/>
      <c r="E3088" s="133"/>
      <c r="F3088" s="24"/>
      <c r="G3088" s="24"/>
      <c r="I3088" s="13" t="str">
        <f>IFERROR(__xludf.DUMMYFUNCTION("if(isblank(A3088),,split(A3088,""-""))"),"")</f>
        <v/>
      </c>
      <c r="K3088" s="13" t="str">
        <f>IFERROR(__xludf.DUMMYFUNCTION("if(isblank(B3088),,split(B3088,""-""))"),"")</f>
        <v/>
      </c>
    </row>
    <row r="3089">
      <c r="A3089" s="132"/>
      <c r="B3089" s="41"/>
      <c r="C3089" s="9"/>
      <c r="D3089" s="133"/>
      <c r="E3089" s="133"/>
      <c r="F3089" s="24"/>
      <c r="G3089" s="24"/>
      <c r="I3089" s="13" t="str">
        <f>IFERROR(__xludf.DUMMYFUNCTION("if(isblank(A3089),,split(A3089,""-""))"),"")</f>
        <v/>
      </c>
      <c r="K3089" s="13" t="str">
        <f>IFERROR(__xludf.DUMMYFUNCTION("if(isblank(B3089),,split(B3089,""-""))"),"")</f>
        <v/>
      </c>
    </row>
    <row r="3090">
      <c r="A3090" s="132"/>
      <c r="B3090" s="41"/>
      <c r="C3090" s="9"/>
      <c r="D3090" s="133"/>
      <c r="E3090" s="133"/>
      <c r="F3090" s="24"/>
      <c r="G3090" s="24"/>
      <c r="I3090" s="13" t="str">
        <f>IFERROR(__xludf.DUMMYFUNCTION("if(isblank(A3090),,split(A3090,""-""))"),"")</f>
        <v/>
      </c>
      <c r="K3090" s="13" t="str">
        <f>IFERROR(__xludf.DUMMYFUNCTION("if(isblank(B3090),,split(B3090,""-""))"),"")</f>
        <v/>
      </c>
    </row>
    <row r="3091">
      <c r="A3091" s="132"/>
      <c r="B3091" s="41"/>
      <c r="C3091" s="9"/>
      <c r="D3091" s="133"/>
      <c r="E3091" s="133"/>
      <c r="F3091" s="24"/>
      <c r="G3091" s="24"/>
      <c r="I3091" s="13" t="str">
        <f>IFERROR(__xludf.DUMMYFUNCTION("if(isblank(A3091),,split(A3091,""-""))"),"")</f>
        <v/>
      </c>
      <c r="K3091" s="13" t="str">
        <f>IFERROR(__xludf.DUMMYFUNCTION("if(isblank(B3091),,split(B3091,""-""))"),"")</f>
        <v/>
      </c>
    </row>
    <row r="3092">
      <c r="A3092" s="132"/>
      <c r="B3092" s="41"/>
      <c r="C3092" s="9"/>
      <c r="D3092" s="133"/>
      <c r="E3092" s="133"/>
      <c r="F3092" s="24"/>
      <c r="G3092" s="24"/>
      <c r="I3092" s="13" t="str">
        <f>IFERROR(__xludf.DUMMYFUNCTION("if(isblank(A3092),,split(A3092,""-""))"),"")</f>
        <v/>
      </c>
      <c r="K3092" s="13" t="str">
        <f>IFERROR(__xludf.DUMMYFUNCTION("if(isblank(B3092),,split(B3092,""-""))"),"")</f>
        <v/>
      </c>
    </row>
    <row r="3093">
      <c r="A3093" s="132"/>
      <c r="B3093" s="41"/>
      <c r="C3093" s="9"/>
      <c r="D3093" s="133"/>
      <c r="E3093" s="133"/>
      <c r="F3093" s="24"/>
      <c r="G3093" s="24"/>
      <c r="I3093" s="13" t="str">
        <f>IFERROR(__xludf.DUMMYFUNCTION("if(isblank(A3093),,split(A3093,""-""))"),"")</f>
        <v/>
      </c>
      <c r="K3093" s="13" t="str">
        <f>IFERROR(__xludf.DUMMYFUNCTION("if(isblank(B3093),,split(B3093,""-""))"),"")</f>
        <v/>
      </c>
    </row>
    <row r="3094">
      <c r="A3094" s="132"/>
      <c r="B3094" s="41"/>
      <c r="C3094" s="9"/>
      <c r="D3094" s="133"/>
      <c r="E3094" s="133"/>
      <c r="F3094" s="24"/>
      <c r="G3094" s="24"/>
      <c r="I3094" s="13" t="str">
        <f>IFERROR(__xludf.DUMMYFUNCTION("if(isblank(A3094),,split(A3094,""-""))"),"")</f>
        <v/>
      </c>
      <c r="K3094" s="13" t="str">
        <f>IFERROR(__xludf.DUMMYFUNCTION("if(isblank(B3094),,split(B3094,""-""))"),"")</f>
        <v/>
      </c>
    </row>
    <row r="3095">
      <c r="A3095" s="132"/>
      <c r="B3095" s="41"/>
      <c r="C3095" s="9"/>
      <c r="D3095" s="133"/>
      <c r="E3095" s="133"/>
      <c r="F3095" s="24"/>
      <c r="G3095" s="24"/>
      <c r="I3095" s="13" t="str">
        <f>IFERROR(__xludf.DUMMYFUNCTION("if(isblank(A3095),,split(A3095,""-""))"),"")</f>
        <v/>
      </c>
      <c r="K3095" s="13" t="str">
        <f>IFERROR(__xludf.DUMMYFUNCTION("if(isblank(B3095),,split(B3095,""-""))"),"")</f>
        <v/>
      </c>
    </row>
    <row r="3096">
      <c r="A3096" s="132"/>
      <c r="B3096" s="41"/>
      <c r="C3096" s="9"/>
      <c r="D3096" s="133"/>
      <c r="E3096" s="133"/>
      <c r="F3096" s="24"/>
      <c r="G3096" s="24"/>
      <c r="I3096" s="13" t="str">
        <f>IFERROR(__xludf.DUMMYFUNCTION("if(isblank(A3096),,split(A3096,""-""))"),"")</f>
        <v/>
      </c>
      <c r="K3096" s="13" t="str">
        <f>IFERROR(__xludf.DUMMYFUNCTION("if(isblank(B3096),,split(B3096,""-""))"),"")</f>
        <v/>
      </c>
    </row>
    <row r="3097">
      <c r="A3097" s="132"/>
      <c r="B3097" s="41"/>
      <c r="C3097" s="9"/>
      <c r="D3097" s="133"/>
      <c r="E3097" s="133"/>
      <c r="F3097" s="24"/>
      <c r="G3097" s="24"/>
      <c r="I3097" s="13" t="str">
        <f>IFERROR(__xludf.DUMMYFUNCTION("if(isblank(A3097),,split(A3097,""-""))"),"")</f>
        <v/>
      </c>
      <c r="K3097" s="13" t="str">
        <f>IFERROR(__xludf.DUMMYFUNCTION("if(isblank(B3097),,split(B3097,""-""))"),"")</f>
        <v/>
      </c>
    </row>
    <row r="3098">
      <c r="A3098" s="132"/>
      <c r="B3098" s="41"/>
      <c r="C3098" s="9"/>
      <c r="D3098" s="133"/>
      <c r="E3098" s="133"/>
      <c r="F3098" s="24"/>
      <c r="G3098" s="24"/>
      <c r="I3098" s="13" t="str">
        <f>IFERROR(__xludf.DUMMYFUNCTION("if(isblank(A3098),,split(A3098,""-""))"),"")</f>
        <v/>
      </c>
      <c r="K3098" s="13" t="str">
        <f>IFERROR(__xludf.DUMMYFUNCTION("if(isblank(B3098),,split(B3098,""-""))"),"")</f>
        <v/>
      </c>
    </row>
    <row r="3099">
      <c r="A3099" s="132"/>
      <c r="B3099" s="41"/>
      <c r="C3099" s="9"/>
      <c r="D3099" s="133"/>
      <c r="E3099" s="133"/>
      <c r="F3099" s="24"/>
      <c r="G3099" s="24"/>
      <c r="I3099" s="13" t="str">
        <f>IFERROR(__xludf.DUMMYFUNCTION("if(isblank(A3099),,split(A3099,""-""))"),"")</f>
        <v/>
      </c>
      <c r="K3099" s="13" t="str">
        <f>IFERROR(__xludf.DUMMYFUNCTION("if(isblank(B3099),,split(B3099,""-""))"),"")</f>
        <v/>
      </c>
    </row>
    <row r="3100">
      <c r="A3100" s="132"/>
      <c r="B3100" s="41"/>
      <c r="C3100" s="9"/>
      <c r="D3100" s="133"/>
      <c r="E3100" s="133"/>
      <c r="F3100" s="24"/>
      <c r="G3100" s="24"/>
      <c r="I3100" s="13" t="str">
        <f>IFERROR(__xludf.DUMMYFUNCTION("if(isblank(A3100),,split(A3100,""-""))"),"")</f>
        <v/>
      </c>
      <c r="K3100" s="13" t="str">
        <f>IFERROR(__xludf.DUMMYFUNCTION("if(isblank(B3100),,split(B3100,""-""))"),"")</f>
        <v/>
      </c>
    </row>
    <row r="3101">
      <c r="A3101" s="132"/>
      <c r="B3101" s="41"/>
      <c r="C3101" s="9"/>
      <c r="D3101" s="133"/>
      <c r="E3101" s="133"/>
      <c r="F3101" s="24"/>
      <c r="G3101" s="24"/>
      <c r="I3101" s="13" t="str">
        <f>IFERROR(__xludf.DUMMYFUNCTION("if(isblank(A3101),,split(A3101,""-""))"),"")</f>
        <v/>
      </c>
      <c r="K3101" s="13" t="str">
        <f>IFERROR(__xludf.DUMMYFUNCTION("if(isblank(B3101),,split(B3101,""-""))"),"")</f>
        <v/>
      </c>
    </row>
    <row r="3102">
      <c r="A3102" s="132"/>
      <c r="B3102" s="41"/>
      <c r="C3102" s="9"/>
      <c r="D3102" s="133"/>
      <c r="E3102" s="133"/>
      <c r="F3102" s="24"/>
      <c r="G3102" s="24"/>
      <c r="I3102" s="13" t="str">
        <f>IFERROR(__xludf.DUMMYFUNCTION("if(isblank(A3102),,split(A3102,""-""))"),"")</f>
        <v/>
      </c>
      <c r="K3102" s="13" t="str">
        <f>IFERROR(__xludf.DUMMYFUNCTION("if(isblank(B3102),,split(B3102,""-""))"),"")</f>
        <v/>
      </c>
    </row>
    <row r="3103">
      <c r="A3103" s="132"/>
      <c r="B3103" s="41"/>
      <c r="C3103" s="9"/>
      <c r="D3103" s="133"/>
      <c r="E3103" s="133"/>
      <c r="F3103" s="24"/>
      <c r="G3103" s="24"/>
      <c r="I3103" s="13" t="str">
        <f>IFERROR(__xludf.DUMMYFUNCTION("if(isblank(A3103),,split(A3103,""-""))"),"")</f>
        <v/>
      </c>
      <c r="K3103" s="13" t="str">
        <f>IFERROR(__xludf.DUMMYFUNCTION("if(isblank(B3103),,split(B3103,""-""))"),"")</f>
        <v/>
      </c>
    </row>
    <row r="3104">
      <c r="A3104" s="132"/>
      <c r="B3104" s="41"/>
      <c r="C3104" s="9"/>
      <c r="D3104" s="133"/>
      <c r="E3104" s="133"/>
      <c r="F3104" s="24"/>
      <c r="G3104" s="24"/>
      <c r="I3104" s="13" t="str">
        <f>IFERROR(__xludf.DUMMYFUNCTION("if(isblank(A3104),,split(A3104,""-""))"),"")</f>
        <v/>
      </c>
      <c r="K3104" s="13" t="str">
        <f>IFERROR(__xludf.DUMMYFUNCTION("if(isblank(B3104),,split(B3104,""-""))"),"")</f>
        <v/>
      </c>
    </row>
    <row r="3105">
      <c r="A3105" s="132"/>
      <c r="B3105" s="41"/>
      <c r="C3105" s="9"/>
      <c r="D3105" s="133"/>
      <c r="E3105" s="133"/>
      <c r="F3105" s="24"/>
      <c r="G3105" s="24"/>
      <c r="I3105" s="13" t="str">
        <f>IFERROR(__xludf.DUMMYFUNCTION("if(isblank(A3105),,split(A3105,""-""))"),"")</f>
        <v/>
      </c>
      <c r="K3105" s="13" t="str">
        <f>IFERROR(__xludf.DUMMYFUNCTION("if(isblank(B3105),,split(B3105,""-""))"),"")</f>
        <v/>
      </c>
    </row>
    <row r="3106">
      <c r="A3106" s="132"/>
      <c r="B3106" s="41"/>
      <c r="C3106" s="9"/>
      <c r="D3106" s="133"/>
      <c r="E3106" s="133"/>
      <c r="F3106" s="24"/>
      <c r="G3106" s="24"/>
      <c r="I3106" s="13" t="str">
        <f>IFERROR(__xludf.DUMMYFUNCTION("if(isblank(A3106),,split(A3106,""-""))"),"")</f>
        <v/>
      </c>
      <c r="K3106" s="13" t="str">
        <f>IFERROR(__xludf.DUMMYFUNCTION("if(isblank(B3106),,split(B3106,""-""))"),"")</f>
        <v/>
      </c>
    </row>
    <row r="3107">
      <c r="A3107" s="132"/>
      <c r="B3107" s="41"/>
      <c r="C3107" s="9"/>
      <c r="D3107" s="133"/>
      <c r="E3107" s="133"/>
      <c r="F3107" s="24"/>
      <c r="G3107" s="24"/>
      <c r="I3107" s="13" t="str">
        <f>IFERROR(__xludf.DUMMYFUNCTION("if(isblank(A3107),,split(A3107,""-""))"),"")</f>
        <v/>
      </c>
      <c r="K3107" s="13" t="str">
        <f>IFERROR(__xludf.DUMMYFUNCTION("if(isblank(B3107),,split(B3107,""-""))"),"")</f>
        <v/>
      </c>
    </row>
    <row r="3108">
      <c r="A3108" s="132"/>
      <c r="B3108" s="41"/>
      <c r="C3108" s="9"/>
      <c r="D3108" s="133"/>
      <c r="E3108" s="133"/>
      <c r="F3108" s="24"/>
      <c r="G3108" s="24"/>
      <c r="I3108" s="13" t="str">
        <f>IFERROR(__xludf.DUMMYFUNCTION("if(isblank(A3108),,split(A3108,""-""))"),"")</f>
        <v/>
      </c>
      <c r="K3108" s="13" t="str">
        <f>IFERROR(__xludf.DUMMYFUNCTION("if(isblank(B3108),,split(B3108,""-""))"),"")</f>
        <v/>
      </c>
    </row>
    <row r="3109">
      <c r="A3109" s="132"/>
      <c r="B3109" s="41"/>
      <c r="C3109" s="9"/>
      <c r="D3109" s="133"/>
      <c r="E3109" s="133"/>
      <c r="F3109" s="24"/>
      <c r="G3109" s="24"/>
      <c r="I3109" s="13" t="str">
        <f>IFERROR(__xludf.DUMMYFUNCTION("if(isblank(A3109),,split(A3109,""-""))"),"")</f>
        <v/>
      </c>
      <c r="K3109" s="13" t="str">
        <f>IFERROR(__xludf.DUMMYFUNCTION("if(isblank(B3109),,split(B3109,""-""))"),"")</f>
        <v/>
      </c>
    </row>
    <row r="3110">
      <c r="A3110" s="132"/>
      <c r="B3110" s="41"/>
      <c r="C3110" s="9"/>
      <c r="D3110" s="133"/>
      <c r="E3110" s="133"/>
      <c r="F3110" s="24"/>
      <c r="G3110" s="24"/>
      <c r="I3110" s="13" t="str">
        <f>IFERROR(__xludf.DUMMYFUNCTION("if(isblank(A3110),,split(A3110,""-""))"),"")</f>
        <v/>
      </c>
      <c r="K3110" s="13" t="str">
        <f>IFERROR(__xludf.DUMMYFUNCTION("if(isblank(B3110),,split(B3110,""-""))"),"")</f>
        <v/>
      </c>
    </row>
    <row r="3111">
      <c r="A3111" s="132"/>
      <c r="B3111" s="41"/>
      <c r="C3111" s="9"/>
      <c r="D3111" s="133"/>
      <c r="E3111" s="133"/>
      <c r="F3111" s="24"/>
      <c r="G3111" s="24"/>
      <c r="I3111" s="13" t="str">
        <f>IFERROR(__xludf.DUMMYFUNCTION("if(isblank(A3111),,split(A3111,""-""))"),"")</f>
        <v/>
      </c>
      <c r="K3111" s="13" t="str">
        <f>IFERROR(__xludf.DUMMYFUNCTION("if(isblank(B3111),,split(B3111,""-""))"),"")</f>
        <v/>
      </c>
    </row>
    <row r="3112">
      <c r="A3112" s="132"/>
      <c r="B3112" s="41"/>
      <c r="C3112" s="9"/>
      <c r="D3112" s="133"/>
      <c r="E3112" s="133"/>
      <c r="F3112" s="24"/>
      <c r="G3112" s="24"/>
      <c r="I3112" s="13" t="str">
        <f>IFERROR(__xludf.DUMMYFUNCTION("if(isblank(A3112),,split(A3112,""-""))"),"")</f>
        <v/>
      </c>
      <c r="K3112" s="13" t="str">
        <f>IFERROR(__xludf.DUMMYFUNCTION("if(isblank(B3112),,split(B3112,""-""))"),"")</f>
        <v/>
      </c>
    </row>
    <row r="3113">
      <c r="A3113" s="132"/>
      <c r="B3113" s="41"/>
      <c r="C3113" s="9"/>
      <c r="D3113" s="133"/>
      <c r="E3113" s="133"/>
      <c r="F3113" s="24"/>
      <c r="G3113" s="24"/>
      <c r="I3113" s="13" t="str">
        <f>IFERROR(__xludf.DUMMYFUNCTION("if(isblank(A3113),,split(A3113,""-""))"),"")</f>
        <v/>
      </c>
      <c r="K3113" s="13" t="str">
        <f>IFERROR(__xludf.DUMMYFUNCTION("if(isblank(B3113),,split(B3113,""-""))"),"")</f>
        <v/>
      </c>
    </row>
    <row r="3114">
      <c r="A3114" s="132"/>
      <c r="B3114" s="41"/>
      <c r="C3114" s="9"/>
      <c r="D3114" s="133"/>
      <c r="E3114" s="133"/>
      <c r="F3114" s="24"/>
      <c r="G3114" s="24"/>
      <c r="I3114" s="13" t="str">
        <f>IFERROR(__xludf.DUMMYFUNCTION("if(isblank(A3114),,split(A3114,""-""))"),"")</f>
        <v/>
      </c>
      <c r="K3114" s="13" t="str">
        <f>IFERROR(__xludf.DUMMYFUNCTION("if(isblank(B3114),,split(B3114,""-""))"),"")</f>
        <v/>
      </c>
    </row>
    <row r="3115">
      <c r="A3115" s="132"/>
      <c r="B3115" s="41"/>
      <c r="C3115" s="9"/>
      <c r="D3115" s="133"/>
      <c r="E3115" s="133"/>
      <c r="F3115" s="24"/>
      <c r="G3115" s="24"/>
      <c r="I3115" s="13" t="str">
        <f>IFERROR(__xludf.DUMMYFUNCTION("if(isblank(A3115),,split(A3115,""-""))"),"")</f>
        <v/>
      </c>
      <c r="K3115" s="13" t="str">
        <f>IFERROR(__xludf.DUMMYFUNCTION("if(isblank(B3115),,split(B3115,""-""))"),"")</f>
        <v/>
      </c>
    </row>
    <row r="3116">
      <c r="A3116" s="132"/>
      <c r="B3116" s="41"/>
      <c r="C3116" s="9"/>
      <c r="D3116" s="133"/>
      <c r="E3116" s="133"/>
      <c r="F3116" s="24"/>
      <c r="G3116" s="24"/>
      <c r="I3116" s="13" t="str">
        <f>IFERROR(__xludf.DUMMYFUNCTION("if(isblank(A3116),,split(A3116,""-""))"),"")</f>
        <v/>
      </c>
      <c r="K3116" s="13" t="str">
        <f>IFERROR(__xludf.DUMMYFUNCTION("if(isblank(B3116),,split(B3116,""-""))"),"")</f>
        <v/>
      </c>
    </row>
    <row r="3117">
      <c r="A3117" s="132"/>
      <c r="B3117" s="41"/>
      <c r="C3117" s="9"/>
      <c r="D3117" s="133"/>
      <c r="E3117" s="133"/>
      <c r="F3117" s="24"/>
      <c r="G3117" s="24"/>
      <c r="I3117" s="13" t="str">
        <f>IFERROR(__xludf.DUMMYFUNCTION("if(isblank(A3117),,split(A3117,""-""))"),"")</f>
        <v/>
      </c>
      <c r="K3117" s="13" t="str">
        <f>IFERROR(__xludf.DUMMYFUNCTION("if(isblank(B3117),,split(B3117,""-""))"),"")</f>
        <v/>
      </c>
    </row>
    <row r="3118">
      <c r="A3118" s="132"/>
      <c r="B3118" s="41"/>
      <c r="C3118" s="9"/>
      <c r="D3118" s="133"/>
      <c r="E3118" s="133"/>
      <c r="F3118" s="24"/>
      <c r="G3118" s="24"/>
      <c r="I3118" s="13" t="str">
        <f>IFERROR(__xludf.DUMMYFUNCTION("if(isblank(A3118),,split(A3118,""-""))"),"")</f>
        <v/>
      </c>
      <c r="K3118" s="13" t="str">
        <f>IFERROR(__xludf.DUMMYFUNCTION("if(isblank(B3118),,split(B3118,""-""))"),"")</f>
        <v/>
      </c>
    </row>
    <row r="3119">
      <c r="A3119" s="132"/>
      <c r="B3119" s="41"/>
      <c r="C3119" s="9"/>
      <c r="D3119" s="133"/>
      <c r="E3119" s="133"/>
      <c r="F3119" s="24"/>
      <c r="G3119" s="24"/>
      <c r="I3119" s="13" t="str">
        <f>IFERROR(__xludf.DUMMYFUNCTION("if(isblank(A3119),,split(A3119,""-""))"),"")</f>
        <v/>
      </c>
      <c r="K3119" s="13" t="str">
        <f>IFERROR(__xludf.DUMMYFUNCTION("if(isblank(B3119),,split(B3119,""-""))"),"")</f>
        <v/>
      </c>
    </row>
    <row r="3120">
      <c r="A3120" s="132"/>
      <c r="B3120" s="41"/>
      <c r="C3120" s="9"/>
      <c r="D3120" s="133"/>
      <c r="E3120" s="133"/>
      <c r="F3120" s="24"/>
      <c r="G3120" s="24"/>
      <c r="I3120" s="13" t="str">
        <f>IFERROR(__xludf.DUMMYFUNCTION("if(isblank(A3120),,split(A3120,""-""))"),"")</f>
        <v/>
      </c>
      <c r="K3120" s="13" t="str">
        <f>IFERROR(__xludf.DUMMYFUNCTION("if(isblank(B3120),,split(B3120,""-""))"),"")</f>
        <v/>
      </c>
    </row>
    <row r="3121">
      <c r="A3121" s="132"/>
      <c r="B3121" s="41"/>
      <c r="C3121" s="9"/>
      <c r="D3121" s="133"/>
      <c r="E3121" s="133"/>
      <c r="F3121" s="24"/>
      <c r="G3121" s="24"/>
      <c r="I3121" s="13" t="str">
        <f>IFERROR(__xludf.DUMMYFUNCTION("if(isblank(A3121),,split(A3121,""-""))"),"")</f>
        <v/>
      </c>
      <c r="K3121" s="13" t="str">
        <f>IFERROR(__xludf.DUMMYFUNCTION("if(isblank(B3121),,split(B3121,""-""))"),"")</f>
        <v/>
      </c>
    </row>
    <row r="3122">
      <c r="A3122" s="132"/>
      <c r="B3122" s="41"/>
      <c r="C3122" s="9"/>
      <c r="D3122" s="133"/>
      <c r="E3122" s="133"/>
      <c r="F3122" s="24"/>
      <c r="G3122" s="24"/>
      <c r="I3122" s="13" t="str">
        <f>IFERROR(__xludf.DUMMYFUNCTION("if(isblank(A3122),,split(A3122,""-""))"),"")</f>
        <v/>
      </c>
      <c r="K3122" s="13" t="str">
        <f>IFERROR(__xludf.DUMMYFUNCTION("if(isblank(B3122),,split(B3122,""-""))"),"")</f>
        <v/>
      </c>
    </row>
    <row r="3123">
      <c r="A3123" s="132"/>
      <c r="B3123" s="41"/>
      <c r="C3123" s="9"/>
      <c r="D3123" s="133"/>
      <c r="E3123" s="133"/>
      <c r="F3123" s="24"/>
      <c r="G3123" s="24"/>
      <c r="I3123" s="13" t="str">
        <f>IFERROR(__xludf.DUMMYFUNCTION("if(isblank(A3123),,split(A3123,""-""))"),"")</f>
        <v/>
      </c>
      <c r="K3123" s="13" t="str">
        <f>IFERROR(__xludf.DUMMYFUNCTION("if(isblank(B3123),,split(B3123,""-""))"),"")</f>
        <v/>
      </c>
    </row>
    <row r="3124">
      <c r="A3124" s="132"/>
      <c r="B3124" s="41"/>
      <c r="C3124" s="9"/>
      <c r="D3124" s="133"/>
      <c r="E3124" s="133"/>
      <c r="F3124" s="24"/>
      <c r="G3124" s="24"/>
      <c r="I3124" s="13" t="str">
        <f>IFERROR(__xludf.DUMMYFUNCTION("if(isblank(A3124),,split(A3124,""-""))"),"")</f>
        <v/>
      </c>
      <c r="K3124" s="13" t="str">
        <f>IFERROR(__xludf.DUMMYFUNCTION("if(isblank(B3124),,split(B3124,""-""))"),"")</f>
        <v/>
      </c>
    </row>
    <row r="3125">
      <c r="A3125" s="132"/>
      <c r="B3125" s="41"/>
      <c r="C3125" s="9"/>
      <c r="D3125" s="133"/>
      <c r="E3125" s="133"/>
      <c r="F3125" s="24"/>
      <c r="G3125" s="24"/>
      <c r="I3125" s="13" t="str">
        <f>IFERROR(__xludf.DUMMYFUNCTION("if(isblank(A3125),,split(A3125,""-""))"),"")</f>
        <v/>
      </c>
      <c r="K3125" s="13" t="str">
        <f>IFERROR(__xludf.DUMMYFUNCTION("if(isblank(B3125),,split(B3125,""-""))"),"")</f>
        <v/>
      </c>
    </row>
    <row r="3126">
      <c r="A3126" s="132"/>
      <c r="B3126" s="41"/>
      <c r="C3126" s="9"/>
      <c r="D3126" s="133"/>
      <c r="E3126" s="133"/>
      <c r="F3126" s="24"/>
      <c r="G3126" s="24"/>
      <c r="I3126" s="13" t="str">
        <f>IFERROR(__xludf.DUMMYFUNCTION("if(isblank(A3126),,split(A3126,""-""))"),"")</f>
        <v/>
      </c>
      <c r="K3126" s="13" t="str">
        <f>IFERROR(__xludf.DUMMYFUNCTION("if(isblank(B3126),,split(B3126,""-""))"),"")</f>
        <v/>
      </c>
    </row>
    <row r="3127">
      <c r="A3127" s="132"/>
      <c r="B3127" s="41"/>
      <c r="C3127" s="9"/>
      <c r="D3127" s="133"/>
      <c r="E3127" s="133"/>
      <c r="F3127" s="24"/>
      <c r="G3127" s="24"/>
      <c r="I3127" s="13" t="str">
        <f>IFERROR(__xludf.DUMMYFUNCTION("if(isblank(A3127),,split(A3127,""-""))"),"")</f>
        <v/>
      </c>
      <c r="K3127" s="13" t="str">
        <f>IFERROR(__xludf.DUMMYFUNCTION("if(isblank(B3127),,split(B3127,""-""))"),"")</f>
        <v/>
      </c>
    </row>
    <row r="3128">
      <c r="A3128" s="132"/>
      <c r="B3128" s="41"/>
      <c r="C3128" s="9"/>
      <c r="D3128" s="133"/>
      <c r="E3128" s="133"/>
      <c r="F3128" s="24"/>
      <c r="G3128" s="24"/>
      <c r="I3128" s="13" t="str">
        <f>IFERROR(__xludf.DUMMYFUNCTION("if(isblank(A3128),,split(A3128,""-""))"),"")</f>
        <v/>
      </c>
      <c r="K3128" s="13" t="str">
        <f>IFERROR(__xludf.DUMMYFUNCTION("if(isblank(B3128),,split(B3128,""-""))"),"")</f>
        <v/>
      </c>
    </row>
    <row r="3129">
      <c r="A3129" s="132"/>
      <c r="B3129" s="41"/>
      <c r="C3129" s="9"/>
      <c r="D3129" s="133"/>
      <c r="E3129" s="133"/>
      <c r="F3129" s="24"/>
      <c r="G3129" s="24"/>
      <c r="I3129" s="13" t="str">
        <f>IFERROR(__xludf.DUMMYFUNCTION("if(isblank(A3129),,split(A3129,""-""))"),"")</f>
        <v/>
      </c>
      <c r="K3129" s="13" t="str">
        <f>IFERROR(__xludf.DUMMYFUNCTION("if(isblank(B3129),,split(B3129,""-""))"),"")</f>
        <v/>
      </c>
    </row>
    <row r="3130">
      <c r="A3130" s="132"/>
      <c r="B3130" s="41"/>
      <c r="C3130" s="9"/>
      <c r="D3130" s="133"/>
      <c r="E3130" s="133"/>
      <c r="F3130" s="24"/>
      <c r="G3130" s="24"/>
      <c r="I3130" s="13" t="str">
        <f>IFERROR(__xludf.DUMMYFUNCTION("if(isblank(A3130),,split(A3130,""-""))"),"")</f>
        <v/>
      </c>
      <c r="K3130" s="13" t="str">
        <f>IFERROR(__xludf.DUMMYFUNCTION("if(isblank(B3130),,split(B3130,""-""))"),"")</f>
        <v/>
      </c>
    </row>
    <row r="3131">
      <c r="A3131" s="132"/>
      <c r="B3131" s="41"/>
      <c r="C3131" s="9"/>
      <c r="D3131" s="133"/>
      <c r="E3131" s="133"/>
      <c r="F3131" s="24"/>
      <c r="G3131" s="24"/>
      <c r="I3131" s="13" t="str">
        <f>IFERROR(__xludf.DUMMYFUNCTION("if(isblank(A3131),,split(A3131,""-""))"),"")</f>
        <v/>
      </c>
      <c r="K3131" s="13" t="str">
        <f>IFERROR(__xludf.DUMMYFUNCTION("if(isblank(B3131),,split(B3131,""-""))"),"")</f>
        <v/>
      </c>
    </row>
    <row r="3132">
      <c r="A3132" s="132"/>
      <c r="B3132" s="41"/>
      <c r="C3132" s="9"/>
      <c r="D3132" s="133"/>
      <c r="E3132" s="133"/>
      <c r="F3132" s="24"/>
      <c r="G3132" s="24"/>
      <c r="I3132" s="13" t="str">
        <f>IFERROR(__xludf.DUMMYFUNCTION("if(isblank(A3132),,split(A3132,""-""))"),"")</f>
        <v/>
      </c>
      <c r="K3132" s="13" t="str">
        <f>IFERROR(__xludf.DUMMYFUNCTION("if(isblank(B3132),,split(B3132,""-""))"),"")</f>
        <v/>
      </c>
    </row>
    <row r="3133">
      <c r="A3133" s="132"/>
      <c r="B3133" s="41"/>
      <c r="C3133" s="9"/>
      <c r="D3133" s="133"/>
      <c r="E3133" s="133"/>
      <c r="F3133" s="24"/>
      <c r="G3133" s="24"/>
      <c r="I3133" s="13" t="str">
        <f>IFERROR(__xludf.DUMMYFUNCTION("if(isblank(A3133),,split(A3133,""-""))"),"")</f>
        <v/>
      </c>
      <c r="K3133" s="13" t="str">
        <f>IFERROR(__xludf.DUMMYFUNCTION("if(isblank(B3133),,split(B3133,""-""))"),"")</f>
        <v/>
      </c>
    </row>
    <row r="3134">
      <c r="A3134" s="132"/>
      <c r="B3134" s="41"/>
      <c r="C3134" s="9"/>
      <c r="D3134" s="133"/>
      <c r="E3134" s="133"/>
      <c r="F3134" s="24"/>
      <c r="G3134" s="24"/>
      <c r="I3134" s="13" t="str">
        <f>IFERROR(__xludf.DUMMYFUNCTION("if(isblank(A3134),,split(A3134,""-""))"),"")</f>
        <v/>
      </c>
      <c r="K3134" s="13" t="str">
        <f>IFERROR(__xludf.DUMMYFUNCTION("if(isblank(B3134),,split(B3134,""-""))"),"")</f>
        <v/>
      </c>
    </row>
    <row r="3135">
      <c r="A3135" s="132"/>
      <c r="B3135" s="41"/>
      <c r="C3135" s="9"/>
      <c r="D3135" s="133"/>
      <c r="E3135" s="133"/>
      <c r="F3135" s="24"/>
      <c r="G3135" s="24"/>
      <c r="I3135" s="13" t="str">
        <f>IFERROR(__xludf.DUMMYFUNCTION("if(isblank(A3135),,split(A3135,""-""))"),"")</f>
        <v/>
      </c>
      <c r="K3135" s="13" t="str">
        <f>IFERROR(__xludf.DUMMYFUNCTION("if(isblank(B3135),,split(B3135,""-""))"),"")</f>
        <v/>
      </c>
    </row>
    <row r="3136">
      <c r="A3136" s="132"/>
      <c r="B3136" s="41"/>
      <c r="C3136" s="9"/>
      <c r="D3136" s="133"/>
      <c r="E3136" s="133"/>
      <c r="F3136" s="24"/>
      <c r="G3136" s="24"/>
      <c r="I3136" s="13" t="str">
        <f>IFERROR(__xludf.DUMMYFUNCTION("if(isblank(A3136),,split(A3136,""-""))"),"")</f>
        <v/>
      </c>
      <c r="K3136" s="13" t="str">
        <f>IFERROR(__xludf.DUMMYFUNCTION("if(isblank(B3136),,split(B3136,""-""))"),"")</f>
        <v/>
      </c>
    </row>
    <row r="3137">
      <c r="A3137" s="132"/>
      <c r="B3137" s="41"/>
      <c r="C3137" s="9"/>
      <c r="D3137" s="133"/>
      <c r="E3137" s="133"/>
      <c r="F3137" s="24"/>
      <c r="G3137" s="24"/>
      <c r="I3137" s="13" t="str">
        <f>IFERROR(__xludf.DUMMYFUNCTION("if(isblank(A3137),,split(A3137,""-""))"),"")</f>
        <v/>
      </c>
      <c r="K3137" s="13" t="str">
        <f>IFERROR(__xludf.DUMMYFUNCTION("if(isblank(B3137),,split(B3137,""-""))"),"")</f>
        <v/>
      </c>
    </row>
    <row r="3138">
      <c r="A3138" s="132"/>
      <c r="B3138" s="41"/>
      <c r="C3138" s="9"/>
      <c r="D3138" s="133"/>
      <c r="E3138" s="133"/>
      <c r="F3138" s="24"/>
      <c r="G3138" s="24"/>
      <c r="I3138" s="13" t="str">
        <f>IFERROR(__xludf.DUMMYFUNCTION("if(isblank(A3138),,split(A3138,""-""))"),"")</f>
        <v/>
      </c>
      <c r="K3138" s="13" t="str">
        <f>IFERROR(__xludf.DUMMYFUNCTION("if(isblank(B3138),,split(B3138,""-""))"),"")</f>
        <v/>
      </c>
    </row>
    <row r="3139">
      <c r="A3139" s="132"/>
      <c r="B3139" s="41"/>
      <c r="C3139" s="9"/>
      <c r="D3139" s="133"/>
      <c r="E3139" s="133"/>
      <c r="F3139" s="24"/>
      <c r="G3139" s="24"/>
      <c r="I3139" s="13" t="str">
        <f>IFERROR(__xludf.DUMMYFUNCTION("if(isblank(A3139),,split(A3139,""-""))"),"")</f>
        <v/>
      </c>
      <c r="K3139" s="13" t="str">
        <f>IFERROR(__xludf.DUMMYFUNCTION("if(isblank(B3139),,split(B3139,""-""))"),"")</f>
        <v/>
      </c>
    </row>
    <row r="3140">
      <c r="A3140" s="132"/>
      <c r="B3140" s="41"/>
      <c r="C3140" s="9"/>
      <c r="D3140" s="133"/>
      <c r="E3140" s="133"/>
      <c r="F3140" s="24"/>
      <c r="G3140" s="24"/>
      <c r="I3140" s="13" t="str">
        <f>IFERROR(__xludf.DUMMYFUNCTION("if(isblank(A3140),,split(A3140,""-""))"),"")</f>
        <v/>
      </c>
      <c r="K3140" s="13" t="str">
        <f>IFERROR(__xludf.DUMMYFUNCTION("if(isblank(B3140),,split(B3140,""-""))"),"")</f>
        <v/>
      </c>
    </row>
    <row r="3141">
      <c r="A3141" s="132"/>
      <c r="B3141" s="41"/>
      <c r="C3141" s="9"/>
      <c r="D3141" s="133"/>
      <c r="E3141" s="133"/>
      <c r="F3141" s="24"/>
      <c r="G3141" s="24"/>
      <c r="I3141" s="13" t="str">
        <f>IFERROR(__xludf.DUMMYFUNCTION("if(isblank(A3141),,split(A3141,""-""))"),"")</f>
        <v/>
      </c>
      <c r="K3141" s="13" t="str">
        <f>IFERROR(__xludf.DUMMYFUNCTION("if(isblank(B3141),,split(B3141,""-""))"),"")</f>
        <v/>
      </c>
    </row>
    <row r="3142">
      <c r="A3142" s="132"/>
      <c r="B3142" s="41"/>
      <c r="C3142" s="9"/>
      <c r="D3142" s="133"/>
      <c r="E3142" s="133"/>
      <c r="F3142" s="24"/>
      <c r="G3142" s="24"/>
      <c r="I3142" s="13" t="str">
        <f>IFERROR(__xludf.DUMMYFUNCTION("if(isblank(A3142),,split(A3142,""-""))"),"")</f>
        <v/>
      </c>
      <c r="K3142" s="13" t="str">
        <f>IFERROR(__xludf.DUMMYFUNCTION("if(isblank(B3142),,split(B3142,""-""))"),"")</f>
        <v/>
      </c>
    </row>
    <row r="3143">
      <c r="A3143" s="132"/>
      <c r="B3143" s="41"/>
      <c r="C3143" s="9"/>
      <c r="D3143" s="133"/>
      <c r="E3143" s="133"/>
      <c r="F3143" s="24"/>
      <c r="G3143" s="24"/>
      <c r="I3143" s="13" t="str">
        <f>IFERROR(__xludf.DUMMYFUNCTION("if(isblank(A3143),,split(A3143,""-""))"),"")</f>
        <v/>
      </c>
      <c r="K3143" s="13" t="str">
        <f>IFERROR(__xludf.DUMMYFUNCTION("if(isblank(B3143),,split(B3143,""-""))"),"")</f>
        <v/>
      </c>
    </row>
    <row r="3144">
      <c r="A3144" s="132"/>
      <c r="B3144" s="41"/>
      <c r="C3144" s="9"/>
      <c r="D3144" s="133"/>
      <c r="E3144" s="133"/>
      <c r="F3144" s="24"/>
      <c r="G3144" s="24"/>
      <c r="I3144" s="13" t="str">
        <f>IFERROR(__xludf.DUMMYFUNCTION("if(isblank(A3144),,split(A3144,""-""))"),"")</f>
        <v/>
      </c>
      <c r="K3144" s="13" t="str">
        <f>IFERROR(__xludf.DUMMYFUNCTION("if(isblank(B3144),,split(B3144,""-""))"),"")</f>
        <v/>
      </c>
    </row>
    <row r="3145">
      <c r="A3145" s="132"/>
      <c r="B3145" s="41"/>
      <c r="C3145" s="9"/>
      <c r="D3145" s="133"/>
      <c r="E3145" s="133"/>
      <c r="F3145" s="24"/>
      <c r="G3145" s="24"/>
      <c r="I3145" s="13" t="str">
        <f>IFERROR(__xludf.DUMMYFUNCTION("if(isblank(A3145),,split(A3145,""-""))"),"")</f>
        <v/>
      </c>
      <c r="K3145" s="13" t="str">
        <f>IFERROR(__xludf.DUMMYFUNCTION("if(isblank(B3145),,split(B3145,""-""))"),"")</f>
        <v/>
      </c>
    </row>
    <row r="3146">
      <c r="A3146" s="132"/>
      <c r="B3146" s="41"/>
      <c r="C3146" s="9"/>
      <c r="D3146" s="133"/>
      <c r="E3146" s="133"/>
      <c r="F3146" s="24"/>
      <c r="G3146" s="24"/>
      <c r="I3146" s="13" t="str">
        <f>IFERROR(__xludf.DUMMYFUNCTION("if(isblank(A3146),,split(A3146,""-""))"),"")</f>
        <v/>
      </c>
      <c r="K3146" s="13" t="str">
        <f>IFERROR(__xludf.DUMMYFUNCTION("if(isblank(B3146),,split(B3146,""-""))"),"")</f>
        <v/>
      </c>
    </row>
    <row r="3147">
      <c r="A3147" s="132"/>
      <c r="B3147" s="41"/>
      <c r="C3147" s="9"/>
      <c r="D3147" s="133"/>
      <c r="E3147" s="133"/>
      <c r="F3147" s="24"/>
      <c r="G3147" s="24"/>
      <c r="I3147" s="13" t="str">
        <f>IFERROR(__xludf.DUMMYFUNCTION("if(isblank(A3147),,split(A3147,""-""))"),"")</f>
        <v/>
      </c>
      <c r="K3147" s="13" t="str">
        <f>IFERROR(__xludf.DUMMYFUNCTION("if(isblank(B3147),,split(B3147,""-""))"),"")</f>
        <v/>
      </c>
    </row>
    <row r="3148">
      <c r="A3148" s="132"/>
      <c r="B3148" s="41"/>
      <c r="C3148" s="9"/>
      <c r="D3148" s="133"/>
      <c r="E3148" s="133"/>
      <c r="F3148" s="24"/>
      <c r="G3148" s="24"/>
      <c r="I3148" s="13" t="str">
        <f>IFERROR(__xludf.DUMMYFUNCTION("if(isblank(A3148),,split(A3148,""-""))"),"")</f>
        <v/>
      </c>
      <c r="K3148" s="13" t="str">
        <f>IFERROR(__xludf.DUMMYFUNCTION("if(isblank(B3148),,split(B3148,""-""))"),"")</f>
        <v/>
      </c>
    </row>
    <row r="3149">
      <c r="A3149" s="132"/>
      <c r="B3149" s="41"/>
      <c r="C3149" s="9"/>
      <c r="D3149" s="133"/>
      <c r="E3149" s="133"/>
      <c r="F3149" s="24"/>
      <c r="G3149" s="24"/>
      <c r="I3149" s="13" t="str">
        <f>IFERROR(__xludf.DUMMYFUNCTION("if(isblank(A3149),,split(A3149,""-""))"),"")</f>
        <v/>
      </c>
      <c r="K3149" s="13" t="str">
        <f>IFERROR(__xludf.DUMMYFUNCTION("if(isblank(B3149),,split(B3149,""-""))"),"")</f>
        <v/>
      </c>
    </row>
    <row r="3150">
      <c r="A3150" s="132"/>
      <c r="B3150" s="41"/>
      <c r="C3150" s="9"/>
      <c r="D3150" s="133"/>
      <c r="E3150" s="133"/>
      <c r="F3150" s="24"/>
      <c r="G3150" s="24"/>
      <c r="I3150" s="13" t="str">
        <f>IFERROR(__xludf.DUMMYFUNCTION("if(isblank(A3150),,split(A3150,""-""))"),"")</f>
        <v/>
      </c>
      <c r="K3150" s="13" t="str">
        <f>IFERROR(__xludf.DUMMYFUNCTION("if(isblank(B3150),,split(B3150,""-""))"),"")</f>
        <v/>
      </c>
    </row>
    <row r="3151">
      <c r="A3151" s="132"/>
      <c r="B3151" s="41"/>
      <c r="C3151" s="9"/>
      <c r="D3151" s="133"/>
      <c r="E3151" s="133"/>
      <c r="F3151" s="24"/>
      <c r="G3151" s="24"/>
      <c r="I3151" s="13" t="str">
        <f>IFERROR(__xludf.DUMMYFUNCTION("if(isblank(A3151),,split(A3151,""-""))"),"")</f>
        <v/>
      </c>
      <c r="K3151" s="13" t="str">
        <f>IFERROR(__xludf.DUMMYFUNCTION("if(isblank(B3151),,split(B3151,""-""))"),"")</f>
        <v/>
      </c>
    </row>
    <row r="3152">
      <c r="A3152" s="132"/>
      <c r="B3152" s="41"/>
      <c r="C3152" s="9"/>
      <c r="D3152" s="133"/>
      <c r="E3152" s="133"/>
      <c r="F3152" s="24"/>
      <c r="G3152" s="24"/>
      <c r="I3152" s="13" t="str">
        <f>IFERROR(__xludf.DUMMYFUNCTION("if(isblank(A3152),,split(A3152,""-""))"),"")</f>
        <v/>
      </c>
      <c r="K3152" s="13" t="str">
        <f>IFERROR(__xludf.DUMMYFUNCTION("if(isblank(B3152),,split(B3152,""-""))"),"")</f>
        <v/>
      </c>
    </row>
    <row r="3153">
      <c r="A3153" s="132"/>
      <c r="B3153" s="41"/>
      <c r="C3153" s="9"/>
      <c r="D3153" s="133"/>
      <c r="E3153" s="133"/>
      <c r="F3153" s="24"/>
      <c r="G3153" s="24"/>
      <c r="I3153" s="13" t="str">
        <f>IFERROR(__xludf.DUMMYFUNCTION("if(isblank(A3153),,split(A3153,""-""))"),"")</f>
        <v/>
      </c>
      <c r="K3153" s="13" t="str">
        <f>IFERROR(__xludf.DUMMYFUNCTION("if(isblank(B3153),,split(B3153,""-""))"),"")</f>
        <v/>
      </c>
    </row>
    <row r="3154">
      <c r="A3154" s="132"/>
      <c r="B3154" s="41"/>
      <c r="C3154" s="9"/>
      <c r="D3154" s="133"/>
      <c r="E3154" s="133"/>
      <c r="F3154" s="24"/>
      <c r="G3154" s="24"/>
      <c r="I3154" s="13" t="str">
        <f>IFERROR(__xludf.DUMMYFUNCTION("if(isblank(A3154),,split(A3154,""-""))"),"")</f>
        <v/>
      </c>
      <c r="K3154" s="13" t="str">
        <f>IFERROR(__xludf.DUMMYFUNCTION("if(isblank(B3154),,split(B3154,""-""))"),"")</f>
        <v/>
      </c>
    </row>
    <row r="3155">
      <c r="A3155" s="132"/>
      <c r="B3155" s="41"/>
      <c r="C3155" s="9"/>
      <c r="D3155" s="133"/>
      <c r="E3155" s="133"/>
      <c r="F3155" s="24"/>
      <c r="G3155" s="24"/>
      <c r="I3155" s="13" t="str">
        <f>IFERROR(__xludf.DUMMYFUNCTION("if(isblank(A3155),,split(A3155,""-""))"),"")</f>
        <v/>
      </c>
      <c r="K3155" s="13" t="str">
        <f>IFERROR(__xludf.DUMMYFUNCTION("if(isblank(B3155),,split(B3155,""-""))"),"")</f>
        <v/>
      </c>
    </row>
    <row r="3156">
      <c r="A3156" s="132"/>
      <c r="B3156" s="41"/>
      <c r="C3156" s="9"/>
      <c r="D3156" s="133"/>
      <c r="E3156" s="133"/>
      <c r="F3156" s="24"/>
      <c r="G3156" s="24"/>
      <c r="I3156" s="13" t="str">
        <f>IFERROR(__xludf.DUMMYFUNCTION("if(isblank(A3156),,split(A3156,""-""))"),"")</f>
        <v/>
      </c>
      <c r="K3156" s="13" t="str">
        <f>IFERROR(__xludf.DUMMYFUNCTION("if(isblank(B3156),,split(B3156,""-""))"),"")</f>
        <v/>
      </c>
    </row>
    <row r="3157">
      <c r="A3157" s="132"/>
      <c r="B3157" s="41"/>
      <c r="C3157" s="9"/>
      <c r="D3157" s="133"/>
      <c r="E3157" s="133"/>
      <c r="F3157" s="24"/>
      <c r="G3157" s="24"/>
      <c r="I3157" s="13" t="str">
        <f>IFERROR(__xludf.DUMMYFUNCTION("if(isblank(A3157),,split(A3157,""-""))"),"")</f>
        <v/>
      </c>
      <c r="K3157" s="13" t="str">
        <f>IFERROR(__xludf.DUMMYFUNCTION("if(isblank(B3157),,split(B3157,""-""))"),"")</f>
        <v/>
      </c>
    </row>
    <row r="3158">
      <c r="A3158" s="132"/>
      <c r="B3158" s="41"/>
      <c r="C3158" s="9"/>
      <c r="D3158" s="133"/>
      <c r="E3158" s="133"/>
      <c r="F3158" s="24"/>
      <c r="G3158" s="24"/>
      <c r="I3158" s="13" t="str">
        <f>IFERROR(__xludf.DUMMYFUNCTION("if(isblank(A3158),,split(A3158,""-""))"),"")</f>
        <v/>
      </c>
      <c r="K3158" s="13" t="str">
        <f>IFERROR(__xludf.DUMMYFUNCTION("if(isblank(B3158),,split(B3158,""-""))"),"")</f>
        <v/>
      </c>
    </row>
    <row r="3159">
      <c r="A3159" s="132"/>
      <c r="B3159" s="41"/>
      <c r="C3159" s="9"/>
      <c r="D3159" s="133"/>
      <c r="E3159" s="133"/>
      <c r="F3159" s="24"/>
      <c r="G3159" s="24"/>
      <c r="I3159" s="13" t="str">
        <f>IFERROR(__xludf.DUMMYFUNCTION("if(isblank(A3159),,split(A3159,""-""))"),"")</f>
        <v/>
      </c>
      <c r="K3159" s="13" t="str">
        <f>IFERROR(__xludf.DUMMYFUNCTION("if(isblank(B3159),,split(B3159,""-""))"),"")</f>
        <v/>
      </c>
    </row>
    <row r="3160">
      <c r="A3160" s="132"/>
      <c r="B3160" s="41"/>
      <c r="C3160" s="9"/>
      <c r="D3160" s="133"/>
      <c r="E3160" s="133"/>
      <c r="F3160" s="24"/>
      <c r="G3160" s="24"/>
      <c r="I3160" s="13" t="str">
        <f>IFERROR(__xludf.DUMMYFUNCTION("if(isblank(A3160),,split(A3160,""-""))"),"")</f>
        <v/>
      </c>
      <c r="K3160" s="13" t="str">
        <f>IFERROR(__xludf.DUMMYFUNCTION("if(isblank(B3160),,split(B3160,""-""))"),"")</f>
        <v/>
      </c>
    </row>
    <row r="3161">
      <c r="A3161" s="132"/>
      <c r="B3161" s="41"/>
      <c r="C3161" s="9"/>
      <c r="D3161" s="133"/>
      <c r="E3161" s="133"/>
      <c r="F3161" s="24"/>
      <c r="G3161" s="24"/>
      <c r="I3161" s="13" t="str">
        <f>IFERROR(__xludf.DUMMYFUNCTION("if(isblank(A3161),,split(A3161,""-""))"),"")</f>
        <v/>
      </c>
      <c r="K3161" s="13" t="str">
        <f>IFERROR(__xludf.DUMMYFUNCTION("if(isblank(B3161),,split(B3161,""-""))"),"")</f>
        <v/>
      </c>
    </row>
    <row r="3162">
      <c r="A3162" s="132"/>
      <c r="B3162" s="41"/>
      <c r="C3162" s="9"/>
      <c r="D3162" s="133"/>
      <c r="E3162" s="133"/>
      <c r="F3162" s="24"/>
      <c r="G3162" s="24"/>
      <c r="I3162" s="13" t="str">
        <f>IFERROR(__xludf.DUMMYFUNCTION("if(isblank(A3162),,split(A3162,""-""))"),"")</f>
        <v/>
      </c>
      <c r="K3162" s="13" t="str">
        <f>IFERROR(__xludf.DUMMYFUNCTION("if(isblank(B3162),,split(B3162,""-""))"),"")</f>
        <v/>
      </c>
    </row>
    <row r="3163">
      <c r="A3163" s="132"/>
      <c r="B3163" s="41"/>
      <c r="C3163" s="9"/>
      <c r="D3163" s="133"/>
      <c r="E3163" s="133"/>
      <c r="F3163" s="24"/>
      <c r="G3163" s="24"/>
      <c r="I3163" s="13" t="str">
        <f>IFERROR(__xludf.DUMMYFUNCTION("if(isblank(A3163),,split(A3163,""-""))"),"")</f>
        <v/>
      </c>
      <c r="K3163" s="13" t="str">
        <f>IFERROR(__xludf.DUMMYFUNCTION("if(isblank(B3163),,split(B3163,""-""))"),"")</f>
        <v/>
      </c>
    </row>
    <row r="3164">
      <c r="A3164" s="132"/>
      <c r="B3164" s="41"/>
      <c r="C3164" s="9"/>
      <c r="D3164" s="133"/>
      <c r="E3164" s="133"/>
      <c r="F3164" s="24"/>
      <c r="G3164" s="24"/>
      <c r="I3164" s="13" t="str">
        <f>IFERROR(__xludf.DUMMYFUNCTION("if(isblank(A3164),,split(A3164,""-""))"),"")</f>
        <v/>
      </c>
      <c r="K3164" s="13" t="str">
        <f>IFERROR(__xludf.DUMMYFUNCTION("if(isblank(B3164),,split(B3164,""-""))"),"")</f>
        <v/>
      </c>
    </row>
    <row r="3165">
      <c r="A3165" s="132"/>
      <c r="B3165" s="41"/>
      <c r="C3165" s="9"/>
      <c r="D3165" s="133"/>
      <c r="E3165" s="133"/>
      <c r="F3165" s="24"/>
      <c r="G3165" s="24"/>
      <c r="I3165" s="13" t="str">
        <f>IFERROR(__xludf.DUMMYFUNCTION("if(isblank(A3165),,split(A3165,""-""))"),"")</f>
        <v/>
      </c>
      <c r="K3165" s="13" t="str">
        <f>IFERROR(__xludf.DUMMYFUNCTION("if(isblank(B3165),,split(B3165,""-""))"),"")</f>
        <v/>
      </c>
    </row>
    <row r="3166">
      <c r="A3166" s="132"/>
      <c r="B3166" s="41"/>
      <c r="C3166" s="9"/>
      <c r="D3166" s="133"/>
      <c r="E3166" s="133"/>
      <c r="F3166" s="24"/>
      <c r="G3166" s="24"/>
      <c r="I3166" s="13" t="str">
        <f>IFERROR(__xludf.DUMMYFUNCTION("if(isblank(A3166),,split(A3166,""-""))"),"")</f>
        <v/>
      </c>
      <c r="K3166" s="13" t="str">
        <f>IFERROR(__xludf.DUMMYFUNCTION("if(isblank(B3166),,split(B3166,""-""))"),"")</f>
        <v/>
      </c>
    </row>
    <row r="3167">
      <c r="A3167" s="132"/>
      <c r="B3167" s="41"/>
      <c r="C3167" s="9"/>
      <c r="D3167" s="133"/>
      <c r="E3167" s="133"/>
      <c r="F3167" s="24"/>
      <c r="G3167" s="24"/>
      <c r="I3167" s="13" t="str">
        <f>IFERROR(__xludf.DUMMYFUNCTION("if(isblank(A3167),,split(A3167,""-""))"),"")</f>
        <v/>
      </c>
      <c r="K3167" s="13" t="str">
        <f>IFERROR(__xludf.DUMMYFUNCTION("if(isblank(B3167),,split(B3167,""-""))"),"")</f>
        <v/>
      </c>
    </row>
    <row r="3168">
      <c r="A3168" s="132"/>
      <c r="B3168" s="41"/>
      <c r="C3168" s="9"/>
      <c r="D3168" s="133"/>
      <c r="E3168" s="133"/>
      <c r="F3168" s="24"/>
      <c r="G3168" s="24"/>
      <c r="I3168" s="13" t="str">
        <f>IFERROR(__xludf.DUMMYFUNCTION("if(isblank(A3168),,split(A3168,""-""))"),"")</f>
        <v/>
      </c>
      <c r="K3168" s="13" t="str">
        <f>IFERROR(__xludf.DUMMYFUNCTION("if(isblank(B3168),,split(B3168,""-""))"),"")</f>
        <v/>
      </c>
    </row>
    <row r="3169">
      <c r="A3169" s="132"/>
      <c r="B3169" s="41"/>
      <c r="C3169" s="9"/>
      <c r="D3169" s="133"/>
      <c r="E3169" s="133"/>
      <c r="F3169" s="24"/>
      <c r="G3169" s="24"/>
      <c r="I3169" s="13" t="str">
        <f>IFERROR(__xludf.DUMMYFUNCTION("if(isblank(A3169),,split(A3169,""-""))"),"")</f>
        <v/>
      </c>
      <c r="K3169" s="13" t="str">
        <f>IFERROR(__xludf.DUMMYFUNCTION("if(isblank(B3169),,split(B3169,""-""))"),"")</f>
        <v/>
      </c>
    </row>
    <row r="3170">
      <c r="A3170" s="132"/>
      <c r="B3170" s="41"/>
      <c r="C3170" s="9"/>
      <c r="D3170" s="133"/>
      <c r="E3170" s="133"/>
      <c r="F3170" s="24"/>
      <c r="G3170" s="24"/>
      <c r="I3170" s="13" t="str">
        <f>IFERROR(__xludf.DUMMYFUNCTION("if(isblank(A3170),,split(A3170,""-""))"),"")</f>
        <v/>
      </c>
      <c r="K3170" s="13" t="str">
        <f>IFERROR(__xludf.DUMMYFUNCTION("if(isblank(B3170),,split(B3170,""-""))"),"")</f>
        <v/>
      </c>
    </row>
    <row r="3171">
      <c r="A3171" s="132"/>
      <c r="B3171" s="41"/>
      <c r="C3171" s="9"/>
      <c r="D3171" s="133"/>
      <c r="E3171" s="133"/>
      <c r="F3171" s="24"/>
      <c r="G3171" s="24"/>
      <c r="I3171" s="13" t="str">
        <f>IFERROR(__xludf.DUMMYFUNCTION("if(isblank(A3171),,split(A3171,""-""))"),"")</f>
        <v/>
      </c>
      <c r="K3171" s="13" t="str">
        <f>IFERROR(__xludf.DUMMYFUNCTION("if(isblank(B3171),,split(B3171,""-""))"),"")</f>
        <v/>
      </c>
    </row>
    <row r="3172">
      <c r="A3172" s="132"/>
      <c r="B3172" s="41"/>
      <c r="C3172" s="9"/>
      <c r="D3172" s="133"/>
      <c r="E3172" s="133"/>
      <c r="F3172" s="24"/>
      <c r="G3172" s="24"/>
      <c r="I3172" s="13" t="str">
        <f>IFERROR(__xludf.DUMMYFUNCTION("if(isblank(A3172),,split(A3172,""-""))"),"")</f>
        <v/>
      </c>
      <c r="K3172" s="13" t="str">
        <f>IFERROR(__xludf.DUMMYFUNCTION("if(isblank(B3172),,split(B3172,""-""))"),"")</f>
        <v/>
      </c>
    </row>
    <row r="3173">
      <c r="A3173" s="132"/>
      <c r="B3173" s="41"/>
      <c r="C3173" s="9"/>
      <c r="D3173" s="133"/>
      <c r="E3173" s="133"/>
      <c r="F3173" s="24"/>
      <c r="G3173" s="24"/>
      <c r="I3173" s="13" t="str">
        <f>IFERROR(__xludf.DUMMYFUNCTION("if(isblank(A3173),,split(A3173,""-""))"),"")</f>
        <v/>
      </c>
      <c r="K3173" s="13" t="str">
        <f>IFERROR(__xludf.DUMMYFUNCTION("if(isblank(B3173),,split(B3173,""-""))"),"")</f>
        <v/>
      </c>
    </row>
    <row r="3174">
      <c r="A3174" s="132"/>
      <c r="B3174" s="41"/>
      <c r="C3174" s="9"/>
      <c r="D3174" s="133"/>
      <c r="E3174" s="133"/>
      <c r="F3174" s="24"/>
      <c r="G3174" s="24"/>
      <c r="I3174" s="13" t="str">
        <f>IFERROR(__xludf.DUMMYFUNCTION("if(isblank(A3174),,split(A3174,""-""))"),"")</f>
        <v/>
      </c>
      <c r="K3174" s="13" t="str">
        <f>IFERROR(__xludf.DUMMYFUNCTION("if(isblank(B3174),,split(B3174,""-""))"),"")</f>
        <v/>
      </c>
    </row>
    <row r="3175">
      <c r="A3175" s="132"/>
      <c r="B3175" s="41"/>
      <c r="C3175" s="9"/>
      <c r="D3175" s="133"/>
      <c r="E3175" s="133"/>
      <c r="F3175" s="24"/>
      <c r="G3175" s="24"/>
      <c r="I3175" s="13" t="str">
        <f>IFERROR(__xludf.DUMMYFUNCTION("if(isblank(A3175),,split(A3175,""-""))"),"")</f>
        <v/>
      </c>
      <c r="K3175" s="13" t="str">
        <f>IFERROR(__xludf.DUMMYFUNCTION("if(isblank(B3175),,split(B3175,""-""))"),"")</f>
        <v/>
      </c>
    </row>
    <row r="3176">
      <c r="A3176" s="132"/>
      <c r="B3176" s="41"/>
      <c r="C3176" s="9"/>
      <c r="D3176" s="133"/>
      <c r="E3176" s="133"/>
      <c r="F3176" s="24"/>
      <c r="G3176" s="24"/>
      <c r="I3176" s="13" t="str">
        <f>IFERROR(__xludf.DUMMYFUNCTION("if(isblank(A3176),,split(A3176,""-""))"),"")</f>
        <v/>
      </c>
      <c r="K3176" s="13" t="str">
        <f>IFERROR(__xludf.DUMMYFUNCTION("if(isblank(B3176),,split(B3176,""-""))"),"")</f>
        <v/>
      </c>
    </row>
    <row r="3177">
      <c r="A3177" s="132"/>
      <c r="B3177" s="41"/>
      <c r="C3177" s="9"/>
      <c r="D3177" s="133"/>
      <c r="E3177" s="133"/>
      <c r="F3177" s="24"/>
      <c r="G3177" s="24"/>
      <c r="I3177" s="13" t="str">
        <f>IFERROR(__xludf.DUMMYFUNCTION("if(isblank(A3177),,split(A3177,""-""))"),"")</f>
        <v/>
      </c>
      <c r="K3177" s="13" t="str">
        <f>IFERROR(__xludf.DUMMYFUNCTION("if(isblank(B3177),,split(B3177,""-""))"),"")</f>
        <v/>
      </c>
    </row>
    <row r="3178">
      <c r="A3178" s="132"/>
      <c r="B3178" s="41"/>
      <c r="C3178" s="9"/>
      <c r="D3178" s="133"/>
      <c r="E3178" s="133"/>
      <c r="F3178" s="24"/>
      <c r="G3178" s="24"/>
      <c r="I3178" s="13" t="str">
        <f>IFERROR(__xludf.DUMMYFUNCTION("if(isblank(A3178),,split(A3178,""-""))"),"")</f>
        <v/>
      </c>
      <c r="K3178" s="13" t="str">
        <f>IFERROR(__xludf.DUMMYFUNCTION("if(isblank(B3178),,split(B3178,""-""))"),"")</f>
        <v/>
      </c>
    </row>
    <row r="3179">
      <c r="A3179" s="132"/>
      <c r="B3179" s="41"/>
      <c r="C3179" s="9"/>
      <c r="D3179" s="133"/>
      <c r="E3179" s="133"/>
      <c r="F3179" s="24"/>
      <c r="G3179" s="24"/>
      <c r="I3179" s="13" t="str">
        <f>IFERROR(__xludf.DUMMYFUNCTION("if(isblank(A3179),,split(A3179,""-""))"),"")</f>
        <v/>
      </c>
      <c r="K3179" s="13" t="str">
        <f>IFERROR(__xludf.DUMMYFUNCTION("if(isblank(B3179),,split(B3179,""-""))"),"")</f>
        <v/>
      </c>
    </row>
    <row r="3180">
      <c r="A3180" s="132"/>
      <c r="B3180" s="41"/>
      <c r="C3180" s="9"/>
      <c r="D3180" s="133"/>
      <c r="E3180" s="133"/>
      <c r="F3180" s="24"/>
      <c r="G3180" s="24"/>
      <c r="I3180" s="13" t="str">
        <f>IFERROR(__xludf.DUMMYFUNCTION("if(isblank(A3180),,split(A3180,""-""))"),"")</f>
        <v/>
      </c>
      <c r="K3180" s="13" t="str">
        <f>IFERROR(__xludf.DUMMYFUNCTION("if(isblank(B3180),,split(B3180,""-""))"),"")</f>
        <v/>
      </c>
    </row>
    <row r="3181">
      <c r="A3181" s="132"/>
      <c r="B3181" s="41"/>
      <c r="C3181" s="9"/>
      <c r="D3181" s="133"/>
      <c r="E3181" s="133"/>
      <c r="F3181" s="24"/>
      <c r="G3181" s="24"/>
      <c r="I3181" s="13" t="str">
        <f>IFERROR(__xludf.DUMMYFUNCTION("if(isblank(A3181),,split(A3181,""-""))"),"")</f>
        <v/>
      </c>
      <c r="K3181" s="13" t="str">
        <f>IFERROR(__xludf.DUMMYFUNCTION("if(isblank(B3181),,split(B3181,""-""))"),"")</f>
        <v/>
      </c>
    </row>
    <row r="3182">
      <c r="A3182" s="132"/>
      <c r="B3182" s="41"/>
      <c r="C3182" s="9"/>
      <c r="D3182" s="133"/>
      <c r="E3182" s="133"/>
      <c r="F3182" s="24"/>
      <c r="G3182" s="24"/>
      <c r="I3182" s="13" t="str">
        <f>IFERROR(__xludf.DUMMYFUNCTION("if(isblank(A3182),,split(A3182,""-""))"),"")</f>
        <v/>
      </c>
      <c r="K3182" s="13" t="str">
        <f>IFERROR(__xludf.DUMMYFUNCTION("if(isblank(B3182),,split(B3182,""-""))"),"")</f>
        <v/>
      </c>
    </row>
    <row r="3183">
      <c r="A3183" s="132"/>
      <c r="B3183" s="41"/>
      <c r="C3183" s="9"/>
      <c r="D3183" s="133"/>
      <c r="E3183" s="133"/>
      <c r="F3183" s="24"/>
      <c r="G3183" s="24"/>
      <c r="I3183" s="13" t="str">
        <f>IFERROR(__xludf.DUMMYFUNCTION("if(isblank(A3183),,split(A3183,""-""))"),"")</f>
        <v/>
      </c>
      <c r="K3183" s="13" t="str">
        <f>IFERROR(__xludf.DUMMYFUNCTION("if(isblank(B3183),,split(B3183,""-""))"),"")</f>
        <v/>
      </c>
    </row>
    <row r="3184">
      <c r="A3184" s="132"/>
      <c r="B3184" s="41"/>
      <c r="C3184" s="9"/>
      <c r="D3184" s="133"/>
      <c r="E3184" s="133"/>
      <c r="F3184" s="24"/>
      <c r="G3184" s="24"/>
      <c r="I3184" s="13" t="str">
        <f>IFERROR(__xludf.DUMMYFUNCTION("if(isblank(A3184),,split(A3184,""-""))"),"")</f>
        <v/>
      </c>
      <c r="K3184" s="13" t="str">
        <f>IFERROR(__xludf.DUMMYFUNCTION("if(isblank(B3184),,split(B3184,""-""))"),"")</f>
        <v/>
      </c>
    </row>
    <row r="3185">
      <c r="A3185" s="132"/>
      <c r="B3185" s="41"/>
      <c r="C3185" s="9"/>
      <c r="D3185" s="133"/>
      <c r="E3185" s="133"/>
      <c r="F3185" s="24"/>
      <c r="G3185" s="24"/>
      <c r="I3185" s="13" t="str">
        <f>IFERROR(__xludf.DUMMYFUNCTION("if(isblank(A3185),,split(A3185,""-""))"),"")</f>
        <v/>
      </c>
      <c r="K3185" s="13" t="str">
        <f>IFERROR(__xludf.DUMMYFUNCTION("if(isblank(B3185),,split(B3185,""-""))"),"")</f>
        <v/>
      </c>
    </row>
    <row r="3186">
      <c r="A3186" s="132"/>
      <c r="B3186" s="41"/>
      <c r="C3186" s="9"/>
      <c r="D3186" s="133"/>
      <c r="E3186" s="133"/>
      <c r="F3186" s="24"/>
      <c r="G3186" s="24"/>
      <c r="I3186" s="13" t="str">
        <f>IFERROR(__xludf.DUMMYFUNCTION("if(isblank(A3186),,split(A3186,""-""))"),"")</f>
        <v/>
      </c>
      <c r="K3186" s="13" t="str">
        <f>IFERROR(__xludf.DUMMYFUNCTION("if(isblank(B3186),,split(B3186,""-""))"),"")</f>
        <v/>
      </c>
    </row>
    <row r="3187">
      <c r="A3187" s="132"/>
      <c r="B3187" s="41"/>
      <c r="C3187" s="9"/>
      <c r="D3187" s="133"/>
      <c r="E3187" s="133"/>
      <c r="F3187" s="24"/>
      <c r="G3187" s="24"/>
      <c r="I3187" s="13" t="str">
        <f>IFERROR(__xludf.DUMMYFUNCTION("if(isblank(A3187),,split(A3187,""-""))"),"")</f>
        <v/>
      </c>
      <c r="K3187" s="13" t="str">
        <f>IFERROR(__xludf.DUMMYFUNCTION("if(isblank(B3187),,split(B3187,""-""))"),"")</f>
        <v/>
      </c>
    </row>
    <row r="3188">
      <c r="A3188" s="132"/>
      <c r="B3188" s="41"/>
      <c r="C3188" s="9"/>
      <c r="D3188" s="133"/>
      <c r="E3188" s="133"/>
      <c r="F3188" s="24"/>
      <c r="G3188" s="24"/>
      <c r="I3188" s="13" t="str">
        <f>IFERROR(__xludf.DUMMYFUNCTION("if(isblank(A3188),,split(A3188,""-""))"),"")</f>
        <v/>
      </c>
      <c r="K3188" s="13" t="str">
        <f>IFERROR(__xludf.DUMMYFUNCTION("if(isblank(B3188),,split(B3188,""-""))"),"")</f>
        <v/>
      </c>
    </row>
    <row r="3189">
      <c r="A3189" s="132"/>
      <c r="B3189" s="41"/>
      <c r="C3189" s="9"/>
      <c r="D3189" s="133"/>
      <c r="E3189" s="133"/>
      <c r="F3189" s="24"/>
      <c r="G3189" s="24"/>
      <c r="I3189" s="13" t="str">
        <f>IFERROR(__xludf.DUMMYFUNCTION("if(isblank(A3189),,split(A3189,""-""))"),"")</f>
        <v/>
      </c>
      <c r="K3189" s="13" t="str">
        <f>IFERROR(__xludf.DUMMYFUNCTION("if(isblank(B3189),,split(B3189,""-""))"),"")</f>
        <v/>
      </c>
    </row>
    <row r="3190">
      <c r="A3190" s="132"/>
      <c r="B3190" s="41"/>
      <c r="C3190" s="9"/>
      <c r="D3190" s="133"/>
      <c r="E3190" s="133"/>
      <c r="F3190" s="24"/>
      <c r="G3190" s="24"/>
      <c r="I3190" s="13" t="str">
        <f>IFERROR(__xludf.DUMMYFUNCTION("if(isblank(A3190),,split(A3190,""-""))"),"")</f>
        <v/>
      </c>
      <c r="K3190" s="13" t="str">
        <f>IFERROR(__xludf.DUMMYFUNCTION("if(isblank(B3190),,split(B3190,""-""))"),"")</f>
        <v/>
      </c>
    </row>
    <row r="3191">
      <c r="A3191" s="132"/>
      <c r="B3191" s="41"/>
      <c r="C3191" s="9"/>
      <c r="D3191" s="133"/>
      <c r="E3191" s="133"/>
      <c r="F3191" s="24"/>
      <c r="G3191" s="24"/>
      <c r="I3191" s="13" t="str">
        <f>IFERROR(__xludf.DUMMYFUNCTION("if(isblank(A3191),,split(A3191,""-""))"),"")</f>
        <v/>
      </c>
      <c r="K3191" s="13" t="str">
        <f>IFERROR(__xludf.DUMMYFUNCTION("if(isblank(B3191),,split(B3191,""-""))"),"")</f>
        <v/>
      </c>
    </row>
    <row r="3192">
      <c r="A3192" s="132"/>
      <c r="B3192" s="41"/>
      <c r="C3192" s="9"/>
      <c r="D3192" s="133"/>
      <c r="E3192" s="133"/>
      <c r="F3192" s="24"/>
      <c r="G3192" s="24"/>
      <c r="I3192" s="13" t="str">
        <f>IFERROR(__xludf.DUMMYFUNCTION("if(isblank(A3192),,split(A3192,""-""))"),"")</f>
        <v/>
      </c>
      <c r="K3192" s="13" t="str">
        <f>IFERROR(__xludf.DUMMYFUNCTION("if(isblank(B3192),,split(B3192,""-""))"),"")</f>
        <v/>
      </c>
    </row>
    <row r="3193">
      <c r="A3193" s="132"/>
      <c r="B3193" s="41"/>
      <c r="C3193" s="9"/>
      <c r="D3193" s="133"/>
      <c r="E3193" s="133"/>
      <c r="F3193" s="24"/>
      <c r="G3193" s="24"/>
      <c r="I3193" s="13" t="str">
        <f>IFERROR(__xludf.DUMMYFUNCTION("if(isblank(A3193),,split(A3193,""-""))"),"")</f>
        <v/>
      </c>
      <c r="K3193" s="13" t="str">
        <f>IFERROR(__xludf.DUMMYFUNCTION("if(isblank(B3193),,split(B3193,""-""))"),"")</f>
        <v/>
      </c>
    </row>
    <row r="3194">
      <c r="A3194" s="132"/>
      <c r="B3194" s="41"/>
      <c r="C3194" s="9"/>
      <c r="D3194" s="133"/>
      <c r="E3194" s="133"/>
      <c r="F3194" s="24"/>
      <c r="G3194" s="24"/>
      <c r="I3194" s="13" t="str">
        <f>IFERROR(__xludf.DUMMYFUNCTION("if(isblank(A3194),,split(A3194,""-""))"),"")</f>
        <v/>
      </c>
      <c r="K3194" s="13" t="str">
        <f>IFERROR(__xludf.DUMMYFUNCTION("if(isblank(B3194),,split(B3194,""-""))"),"")</f>
        <v/>
      </c>
    </row>
    <row r="3195">
      <c r="A3195" s="132"/>
      <c r="B3195" s="41"/>
      <c r="C3195" s="9"/>
      <c r="D3195" s="133"/>
      <c r="E3195" s="133"/>
      <c r="F3195" s="24"/>
      <c r="G3195" s="24"/>
      <c r="I3195" s="13" t="str">
        <f>IFERROR(__xludf.DUMMYFUNCTION("if(isblank(A3195),,split(A3195,""-""))"),"")</f>
        <v/>
      </c>
      <c r="K3195" s="13" t="str">
        <f>IFERROR(__xludf.DUMMYFUNCTION("if(isblank(B3195),,split(B3195,""-""))"),"")</f>
        <v/>
      </c>
    </row>
    <row r="3196">
      <c r="A3196" s="132"/>
      <c r="B3196" s="41"/>
      <c r="C3196" s="9"/>
      <c r="D3196" s="133"/>
      <c r="E3196" s="133"/>
      <c r="F3196" s="24"/>
      <c r="G3196" s="24"/>
      <c r="I3196" s="13" t="str">
        <f>IFERROR(__xludf.DUMMYFUNCTION("if(isblank(A3196),,split(A3196,""-""))"),"")</f>
        <v/>
      </c>
      <c r="K3196" s="13" t="str">
        <f>IFERROR(__xludf.DUMMYFUNCTION("if(isblank(B3196),,split(B3196,""-""))"),"")</f>
        <v/>
      </c>
    </row>
    <row r="3197">
      <c r="A3197" s="132"/>
      <c r="B3197" s="41"/>
      <c r="C3197" s="9"/>
      <c r="D3197" s="133"/>
      <c r="E3197" s="133"/>
      <c r="F3197" s="24"/>
      <c r="G3197" s="24"/>
      <c r="I3197" s="13" t="str">
        <f>IFERROR(__xludf.DUMMYFUNCTION("if(isblank(A3197),,split(A3197,""-""))"),"")</f>
        <v/>
      </c>
      <c r="K3197" s="13" t="str">
        <f>IFERROR(__xludf.DUMMYFUNCTION("if(isblank(B3197),,split(B3197,""-""))"),"")</f>
        <v/>
      </c>
    </row>
    <row r="3198">
      <c r="A3198" s="132"/>
      <c r="B3198" s="41"/>
      <c r="C3198" s="9"/>
      <c r="D3198" s="133"/>
      <c r="E3198" s="133"/>
      <c r="F3198" s="24"/>
      <c r="G3198" s="24"/>
      <c r="I3198" s="13" t="str">
        <f>IFERROR(__xludf.DUMMYFUNCTION("if(isblank(A3198),,split(A3198,""-""))"),"")</f>
        <v/>
      </c>
      <c r="K3198" s="13" t="str">
        <f>IFERROR(__xludf.DUMMYFUNCTION("if(isblank(B3198),,split(B3198,""-""))"),"")</f>
        <v/>
      </c>
    </row>
    <row r="3199">
      <c r="A3199" s="132"/>
      <c r="B3199" s="41"/>
      <c r="C3199" s="9"/>
      <c r="D3199" s="133"/>
      <c r="E3199" s="133"/>
      <c r="F3199" s="24"/>
      <c r="G3199" s="24"/>
      <c r="I3199" s="13" t="str">
        <f>IFERROR(__xludf.DUMMYFUNCTION("if(isblank(A3199),,split(A3199,""-""))"),"")</f>
        <v/>
      </c>
      <c r="K3199" s="13" t="str">
        <f>IFERROR(__xludf.DUMMYFUNCTION("if(isblank(B3199),,split(B3199,""-""))"),"")</f>
        <v/>
      </c>
    </row>
    <row r="3200">
      <c r="A3200" s="132"/>
      <c r="B3200" s="41"/>
      <c r="C3200" s="9"/>
      <c r="D3200" s="133"/>
      <c r="E3200" s="133"/>
      <c r="F3200" s="24"/>
      <c r="G3200" s="24"/>
      <c r="I3200" s="13" t="str">
        <f>IFERROR(__xludf.DUMMYFUNCTION("if(isblank(A3200),,split(A3200,""-""))"),"")</f>
        <v/>
      </c>
      <c r="K3200" s="13" t="str">
        <f>IFERROR(__xludf.DUMMYFUNCTION("if(isblank(B3200),,split(B3200,""-""))"),"")</f>
        <v/>
      </c>
    </row>
    <row r="3201">
      <c r="A3201" s="132"/>
      <c r="B3201" s="41"/>
      <c r="C3201" s="9"/>
      <c r="D3201" s="133"/>
      <c r="E3201" s="133"/>
      <c r="F3201" s="24"/>
      <c r="G3201" s="24"/>
      <c r="I3201" s="13" t="str">
        <f>IFERROR(__xludf.DUMMYFUNCTION("if(isblank(A3201),,split(A3201,""-""))"),"")</f>
        <v/>
      </c>
      <c r="K3201" s="13" t="str">
        <f>IFERROR(__xludf.DUMMYFUNCTION("if(isblank(B3201),,split(B3201,""-""))"),"")</f>
        <v/>
      </c>
    </row>
    <row r="3202">
      <c r="A3202" s="132"/>
      <c r="B3202" s="41"/>
      <c r="C3202" s="9"/>
      <c r="D3202" s="133"/>
      <c r="E3202" s="133"/>
      <c r="F3202" s="24"/>
      <c r="G3202" s="24"/>
      <c r="I3202" s="13" t="str">
        <f>IFERROR(__xludf.DUMMYFUNCTION("if(isblank(A3202),,split(A3202,""-""))"),"")</f>
        <v/>
      </c>
      <c r="K3202" s="13" t="str">
        <f>IFERROR(__xludf.DUMMYFUNCTION("if(isblank(B3202),,split(B3202,""-""))"),"")</f>
        <v/>
      </c>
    </row>
    <row r="3203">
      <c r="A3203" s="132"/>
      <c r="B3203" s="41"/>
      <c r="C3203" s="9"/>
      <c r="D3203" s="133"/>
      <c r="E3203" s="133"/>
      <c r="F3203" s="24"/>
      <c r="G3203" s="24"/>
      <c r="I3203" s="13" t="str">
        <f>IFERROR(__xludf.DUMMYFUNCTION("if(isblank(A3203),,split(A3203,""-""))"),"")</f>
        <v/>
      </c>
      <c r="K3203" s="13" t="str">
        <f>IFERROR(__xludf.DUMMYFUNCTION("if(isblank(B3203),,split(B3203,""-""))"),"")</f>
        <v/>
      </c>
    </row>
    <row r="3204">
      <c r="A3204" s="132"/>
      <c r="B3204" s="41"/>
      <c r="C3204" s="9"/>
      <c r="D3204" s="133"/>
      <c r="E3204" s="133"/>
      <c r="F3204" s="24"/>
      <c r="G3204" s="24"/>
      <c r="I3204" s="13" t="str">
        <f>IFERROR(__xludf.DUMMYFUNCTION("if(isblank(A3204),,split(A3204,""-""))"),"")</f>
        <v/>
      </c>
      <c r="K3204" s="13" t="str">
        <f>IFERROR(__xludf.DUMMYFUNCTION("if(isblank(B3204),,split(B3204,""-""))"),"")</f>
        <v/>
      </c>
    </row>
    <row r="3205">
      <c r="A3205" s="132"/>
      <c r="B3205" s="41"/>
      <c r="C3205" s="9"/>
      <c r="D3205" s="133"/>
      <c r="E3205" s="133"/>
      <c r="F3205" s="24"/>
      <c r="G3205" s="24"/>
      <c r="I3205" s="13" t="str">
        <f>IFERROR(__xludf.DUMMYFUNCTION("if(isblank(A3205),,split(A3205,""-""))"),"")</f>
        <v/>
      </c>
      <c r="K3205" s="13" t="str">
        <f>IFERROR(__xludf.DUMMYFUNCTION("if(isblank(B3205),,split(B3205,""-""))"),"")</f>
        <v/>
      </c>
    </row>
    <row r="3206">
      <c r="A3206" s="132"/>
      <c r="B3206" s="41"/>
      <c r="C3206" s="9"/>
      <c r="D3206" s="133"/>
      <c r="E3206" s="133"/>
      <c r="F3206" s="24"/>
      <c r="G3206" s="24"/>
      <c r="I3206" s="13" t="str">
        <f>IFERROR(__xludf.DUMMYFUNCTION("if(isblank(A3206),,split(A3206,""-""))"),"")</f>
        <v/>
      </c>
      <c r="K3206" s="13" t="str">
        <f>IFERROR(__xludf.DUMMYFUNCTION("if(isblank(B3206),,split(B3206,""-""))"),"")</f>
        <v/>
      </c>
    </row>
    <row r="3207">
      <c r="A3207" s="132"/>
      <c r="B3207" s="41"/>
      <c r="C3207" s="9"/>
      <c r="D3207" s="133"/>
      <c r="E3207" s="133"/>
      <c r="F3207" s="24"/>
      <c r="G3207" s="24"/>
      <c r="I3207" s="13" t="str">
        <f>IFERROR(__xludf.DUMMYFUNCTION("if(isblank(A3207),,split(A3207,""-""))"),"")</f>
        <v/>
      </c>
      <c r="K3207" s="13" t="str">
        <f>IFERROR(__xludf.DUMMYFUNCTION("if(isblank(B3207),,split(B3207,""-""))"),"")</f>
        <v/>
      </c>
    </row>
    <row r="3208">
      <c r="A3208" s="132"/>
      <c r="B3208" s="41"/>
      <c r="C3208" s="9"/>
      <c r="D3208" s="133"/>
      <c r="E3208" s="133"/>
      <c r="F3208" s="24"/>
      <c r="G3208" s="24"/>
      <c r="I3208" s="13" t="str">
        <f>IFERROR(__xludf.DUMMYFUNCTION("if(isblank(A3208),,split(A3208,""-""))"),"")</f>
        <v/>
      </c>
      <c r="K3208" s="13" t="str">
        <f>IFERROR(__xludf.DUMMYFUNCTION("if(isblank(B3208),,split(B3208,""-""))"),"")</f>
        <v/>
      </c>
    </row>
    <row r="3209">
      <c r="A3209" s="132"/>
      <c r="B3209" s="41"/>
      <c r="C3209" s="9"/>
      <c r="D3209" s="133"/>
      <c r="E3209" s="133"/>
      <c r="F3209" s="24"/>
      <c r="G3209" s="24"/>
      <c r="I3209" s="13" t="str">
        <f>IFERROR(__xludf.DUMMYFUNCTION("if(isblank(A3209),,split(A3209,""-""))"),"")</f>
        <v/>
      </c>
      <c r="K3209" s="13" t="str">
        <f>IFERROR(__xludf.DUMMYFUNCTION("if(isblank(B3209),,split(B3209,""-""))"),"")</f>
        <v/>
      </c>
    </row>
    <row r="3210">
      <c r="A3210" s="132"/>
      <c r="B3210" s="41"/>
      <c r="C3210" s="9"/>
      <c r="D3210" s="133"/>
      <c r="E3210" s="133"/>
      <c r="F3210" s="24"/>
      <c r="G3210" s="24"/>
      <c r="I3210" s="13" t="str">
        <f>IFERROR(__xludf.DUMMYFUNCTION("if(isblank(A3210),,split(A3210,""-""))"),"")</f>
        <v/>
      </c>
      <c r="K3210" s="13" t="str">
        <f>IFERROR(__xludf.DUMMYFUNCTION("if(isblank(B3210),,split(B3210,""-""))"),"")</f>
        <v/>
      </c>
    </row>
    <row r="3211">
      <c r="A3211" s="132"/>
      <c r="B3211" s="41"/>
      <c r="C3211" s="9"/>
      <c r="D3211" s="133"/>
      <c r="E3211" s="133"/>
      <c r="F3211" s="24"/>
      <c r="G3211" s="24"/>
      <c r="I3211" s="13" t="str">
        <f>IFERROR(__xludf.DUMMYFUNCTION("if(isblank(A3211),,split(A3211,""-""))"),"")</f>
        <v/>
      </c>
      <c r="K3211" s="13" t="str">
        <f>IFERROR(__xludf.DUMMYFUNCTION("if(isblank(B3211),,split(B3211,""-""))"),"")</f>
        <v/>
      </c>
    </row>
    <row r="3212">
      <c r="A3212" s="132"/>
      <c r="B3212" s="41"/>
      <c r="C3212" s="9"/>
      <c r="D3212" s="133"/>
      <c r="E3212" s="133"/>
      <c r="F3212" s="24"/>
      <c r="G3212" s="24"/>
      <c r="I3212" s="13" t="str">
        <f>IFERROR(__xludf.DUMMYFUNCTION("if(isblank(A3212),,split(A3212,""-""))"),"")</f>
        <v/>
      </c>
      <c r="K3212" s="13" t="str">
        <f>IFERROR(__xludf.DUMMYFUNCTION("if(isblank(B3212),,split(B3212,""-""))"),"")</f>
        <v/>
      </c>
    </row>
    <row r="3213">
      <c r="A3213" s="132"/>
      <c r="B3213" s="41"/>
      <c r="C3213" s="9"/>
      <c r="D3213" s="133"/>
      <c r="E3213" s="133"/>
      <c r="F3213" s="24"/>
      <c r="G3213" s="24"/>
      <c r="I3213" s="13" t="str">
        <f>IFERROR(__xludf.DUMMYFUNCTION("if(isblank(A3213),,split(A3213,""-""))"),"")</f>
        <v/>
      </c>
      <c r="K3213" s="13" t="str">
        <f>IFERROR(__xludf.DUMMYFUNCTION("if(isblank(B3213),,split(B3213,""-""))"),"")</f>
        <v/>
      </c>
    </row>
    <row r="3214">
      <c r="A3214" s="132"/>
      <c r="B3214" s="41"/>
      <c r="C3214" s="9"/>
      <c r="D3214" s="133"/>
      <c r="E3214" s="133"/>
      <c r="F3214" s="24"/>
      <c r="G3214" s="24"/>
      <c r="I3214" s="13" t="str">
        <f>IFERROR(__xludf.DUMMYFUNCTION("if(isblank(A3214),,split(A3214,""-""))"),"")</f>
        <v/>
      </c>
      <c r="K3214" s="13" t="str">
        <f>IFERROR(__xludf.DUMMYFUNCTION("if(isblank(B3214),,split(B3214,""-""))"),"")</f>
        <v/>
      </c>
    </row>
    <row r="3215">
      <c r="A3215" s="132"/>
      <c r="B3215" s="41"/>
      <c r="C3215" s="9"/>
      <c r="D3215" s="133"/>
      <c r="E3215" s="133"/>
      <c r="F3215" s="24"/>
      <c r="G3215" s="24"/>
      <c r="I3215" s="13" t="str">
        <f>IFERROR(__xludf.DUMMYFUNCTION("if(isblank(A3215),,split(A3215,""-""))"),"")</f>
        <v/>
      </c>
      <c r="K3215" s="13" t="str">
        <f>IFERROR(__xludf.DUMMYFUNCTION("if(isblank(B3215),,split(B3215,""-""))"),"")</f>
        <v/>
      </c>
    </row>
    <row r="3216">
      <c r="A3216" s="132"/>
      <c r="B3216" s="41"/>
      <c r="C3216" s="9"/>
      <c r="D3216" s="133"/>
      <c r="E3216" s="133"/>
      <c r="F3216" s="24"/>
      <c r="G3216" s="24"/>
      <c r="I3216" s="13" t="str">
        <f>IFERROR(__xludf.DUMMYFUNCTION("if(isblank(A3216),,split(A3216,""-""))"),"")</f>
        <v/>
      </c>
      <c r="K3216" s="13" t="str">
        <f>IFERROR(__xludf.DUMMYFUNCTION("if(isblank(B3216),,split(B3216,""-""))"),"")</f>
        <v/>
      </c>
    </row>
    <row r="3217">
      <c r="A3217" s="132"/>
      <c r="B3217" s="41"/>
      <c r="C3217" s="9"/>
      <c r="D3217" s="133"/>
      <c r="E3217" s="133"/>
      <c r="F3217" s="24"/>
      <c r="G3217" s="24"/>
      <c r="I3217" s="13" t="str">
        <f>IFERROR(__xludf.DUMMYFUNCTION("if(isblank(A3217),,split(A3217,""-""))"),"")</f>
        <v/>
      </c>
      <c r="K3217" s="13" t="str">
        <f>IFERROR(__xludf.DUMMYFUNCTION("if(isblank(B3217),,split(B3217,""-""))"),"")</f>
        <v/>
      </c>
    </row>
    <row r="3218">
      <c r="A3218" s="132"/>
      <c r="B3218" s="41"/>
      <c r="C3218" s="9"/>
      <c r="D3218" s="133"/>
      <c r="E3218" s="133"/>
      <c r="F3218" s="24"/>
      <c r="G3218" s="24"/>
      <c r="I3218" s="13" t="str">
        <f>IFERROR(__xludf.DUMMYFUNCTION("if(isblank(A3218),,split(A3218,""-""))"),"")</f>
        <v/>
      </c>
      <c r="K3218" s="13" t="str">
        <f>IFERROR(__xludf.DUMMYFUNCTION("if(isblank(B3218),,split(B3218,""-""))"),"")</f>
        <v/>
      </c>
    </row>
    <row r="3219">
      <c r="A3219" s="132"/>
      <c r="B3219" s="41"/>
      <c r="C3219" s="9"/>
      <c r="D3219" s="133"/>
      <c r="E3219" s="133"/>
      <c r="F3219" s="24"/>
      <c r="G3219" s="24"/>
      <c r="I3219" s="13" t="str">
        <f>IFERROR(__xludf.DUMMYFUNCTION("if(isblank(A3219),,split(A3219,""-""))"),"")</f>
        <v/>
      </c>
      <c r="K3219" s="13" t="str">
        <f>IFERROR(__xludf.DUMMYFUNCTION("if(isblank(B3219),,split(B3219,""-""))"),"")</f>
        <v/>
      </c>
    </row>
    <row r="3220">
      <c r="A3220" s="132"/>
      <c r="B3220" s="41"/>
      <c r="C3220" s="9"/>
      <c r="D3220" s="133"/>
      <c r="E3220" s="133"/>
      <c r="F3220" s="24"/>
      <c r="G3220" s="24"/>
      <c r="I3220" s="13" t="str">
        <f>IFERROR(__xludf.DUMMYFUNCTION("if(isblank(A3220),,split(A3220,""-""))"),"")</f>
        <v/>
      </c>
      <c r="K3220" s="13" t="str">
        <f>IFERROR(__xludf.DUMMYFUNCTION("if(isblank(B3220),,split(B3220,""-""))"),"")</f>
        <v/>
      </c>
    </row>
    <row r="3221">
      <c r="A3221" s="132"/>
      <c r="B3221" s="41"/>
      <c r="C3221" s="9"/>
      <c r="D3221" s="133"/>
      <c r="E3221" s="133"/>
      <c r="F3221" s="24"/>
      <c r="G3221" s="24"/>
      <c r="I3221" s="13" t="str">
        <f>IFERROR(__xludf.DUMMYFUNCTION("if(isblank(A3221),,split(A3221,""-""))"),"")</f>
        <v/>
      </c>
      <c r="K3221" s="13" t="str">
        <f>IFERROR(__xludf.DUMMYFUNCTION("if(isblank(B3221),,split(B3221,""-""))"),"")</f>
        <v/>
      </c>
    </row>
    <row r="3222">
      <c r="A3222" s="132"/>
      <c r="B3222" s="41"/>
      <c r="C3222" s="9"/>
      <c r="D3222" s="133"/>
      <c r="E3222" s="133"/>
      <c r="F3222" s="24"/>
      <c r="G3222" s="24"/>
      <c r="I3222" s="13" t="str">
        <f>IFERROR(__xludf.DUMMYFUNCTION("if(isblank(A3222),,split(A3222,""-""))"),"")</f>
        <v/>
      </c>
      <c r="K3222" s="13" t="str">
        <f>IFERROR(__xludf.DUMMYFUNCTION("if(isblank(B3222),,split(B3222,""-""))"),"")</f>
        <v/>
      </c>
    </row>
    <row r="3223">
      <c r="A3223" s="132"/>
      <c r="B3223" s="41"/>
      <c r="C3223" s="9"/>
      <c r="D3223" s="133"/>
      <c r="E3223" s="133"/>
      <c r="F3223" s="24"/>
      <c r="G3223" s="24"/>
      <c r="I3223" s="13" t="str">
        <f>IFERROR(__xludf.DUMMYFUNCTION("if(isblank(A3223),,split(A3223,""-""))"),"")</f>
        <v/>
      </c>
      <c r="K3223" s="13" t="str">
        <f>IFERROR(__xludf.DUMMYFUNCTION("if(isblank(B3223),,split(B3223,""-""))"),"")</f>
        <v/>
      </c>
    </row>
    <row r="3224">
      <c r="A3224" s="132"/>
      <c r="B3224" s="41"/>
      <c r="C3224" s="9"/>
      <c r="D3224" s="133"/>
      <c r="E3224" s="133"/>
      <c r="F3224" s="24"/>
      <c r="G3224" s="24"/>
      <c r="I3224" s="13" t="str">
        <f>IFERROR(__xludf.DUMMYFUNCTION("if(isblank(A3224),,split(A3224,""-""))"),"")</f>
        <v/>
      </c>
      <c r="K3224" s="13" t="str">
        <f>IFERROR(__xludf.DUMMYFUNCTION("if(isblank(B3224),,split(B3224,""-""))"),"")</f>
        <v/>
      </c>
    </row>
    <row r="3225">
      <c r="A3225" s="132"/>
      <c r="B3225" s="41"/>
      <c r="C3225" s="9"/>
      <c r="D3225" s="133"/>
      <c r="E3225" s="133"/>
      <c r="F3225" s="24"/>
      <c r="G3225" s="24"/>
      <c r="I3225" s="13" t="str">
        <f>IFERROR(__xludf.DUMMYFUNCTION("if(isblank(A3225),,split(A3225,""-""))"),"")</f>
        <v/>
      </c>
      <c r="K3225" s="13" t="str">
        <f>IFERROR(__xludf.DUMMYFUNCTION("if(isblank(B3225),,split(B3225,""-""))"),"")</f>
        <v/>
      </c>
    </row>
    <row r="3226">
      <c r="A3226" s="132"/>
      <c r="B3226" s="41"/>
      <c r="C3226" s="9"/>
      <c r="D3226" s="133"/>
      <c r="E3226" s="133"/>
      <c r="F3226" s="24"/>
      <c r="G3226" s="24"/>
      <c r="I3226" s="13" t="str">
        <f>IFERROR(__xludf.DUMMYFUNCTION("if(isblank(A3226),,split(A3226,""-""))"),"")</f>
        <v/>
      </c>
      <c r="K3226" s="13" t="str">
        <f>IFERROR(__xludf.DUMMYFUNCTION("if(isblank(B3226),,split(B3226,""-""))"),"")</f>
        <v/>
      </c>
    </row>
    <row r="3227">
      <c r="A3227" s="132"/>
      <c r="B3227" s="41"/>
      <c r="C3227" s="9"/>
      <c r="D3227" s="133"/>
      <c r="E3227" s="133"/>
      <c r="F3227" s="24"/>
      <c r="G3227" s="24"/>
      <c r="I3227" s="13" t="str">
        <f>IFERROR(__xludf.DUMMYFUNCTION("if(isblank(A3227),,split(A3227,""-""))"),"")</f>
        <v/>
      </c>
      <c r="K3227" s="13" t="str">
        <f>IFERROR(__xludf.DUMMYFUNCTION("if(isblank(B3227),,split(B3227,""-""))"),"")</f>
        <v/>
      </c>
    </row>
    <row r="3228">
      <c r="A3228" s="132"/>
      <c r="B3228" s="41"/>
      <c r="C3228" s="9"/>
      <c r="D3228" s="133"/>
      <c r="E3228" s="133"/>
      <c r="F3228" s="24"/>
      <c r="G3228" s="24"/>
      <c r="I3228" s="13" t="str">
        <f>IFERROR(__xludf.DUMMYFUNCTION("if(isblank(A3228),,split(A3228,""-""))"),"")</f>
        <v/>
      </c>
      <c r="K3228" s="13" t="str">
        <f>IFERROR(__xludf.DUMMYFUNCTION("if(isblank(B3228),,split(B3228,""-""))"),"")</f>
        <v/>
      </c>
    </row>
    <row r="3229">
      <c r="A3229" s="132"/>
      <c r="B3229" s="41"/>
      <c r="C3229" s="9"/>
      <c r="D3229" s="133"/>
      <c r="E3229" s="133"/>
      <c r="F3229" s="24"/>
      <c r="G3229" s="24"/>
      <c r="I3229" s="13" t="str">
        <f>IFERROR(__xludf.DUMMYFUNCTION("if(isblank(A3229),,split(A3229,""-""))"),"")</f>
        <v/>
      </c>
      <c r="K3229" s="13" t="str">
        <f>IFERROR(__xludf.DUMMYFUNCTION("if(isblank(B3229),,split(B3229,""-""))"),"")</f>
        <v/>
      </c>
    </row>
    <row r="3230">
      <c r="A3230" s="132"/>
      <c r="B3230" s="41"/>
      <c r="C3230" s="9"/>
      <c r="D3230" s="133"/>
      <c r="E3230" s="133"/>
      <c r="F3230" s="24"/>
      <c r="G3230" s="24"/>
      <c r="I3230" s="13" t="str">
        <f>IFERROR(__xludf.DUMMYFUNCTION("if(isblank(A3230),,split(A3230,""-""))"),"")</f>
        <v/>
      </c>
      <c r="K3230" s="13" t="str">
        <f>IFERROR(__xludf.DUMMYFUNCTION("if(isblank(B3230),,split(B3230,""-""))"),"")</f>
        <v/>
      </c>
    </row>
    <row r="3231">
      <c r="A3231" s="132"/>
      <c r="B3231" s="41"/>
      <c r="C3231" s="9"/>
      <c r="D3231" s="133"/>
      <c r="E3231" s="133"/>
      <c r="F3231" s="24"/>
      <c r="G3231" s="24"/>
      <c r="I3231" s="13" t="str">
        <f>IFERROR(__xludf.DUMMYFUNCTION("if(isblank(A3231),,split(A3231,""-""))"),"")</f>
        <v/>
      </c>
      <c r="K3231" s="13" t="str">
        <f>IFERROR(__xludf.DUMMYFUNCTION("if(isblank(B3231),,split(B3231,""-""))"),"")</f>
        <v/>
      </c>
    </row>
    <row r="3232">
      <c r="A3232" s="132"/>
      <c r="B3232" s="41"/>
      <c r="C3232" s="9"/>
      <c r="D3232" s="133"/>
      <c r="E3232" s="133"/>
      <c r="F3232" s="24"/>
      <c r="G3232" s="24"/>
      <c r="I3232" s="13" t="str">
        <f>IFERROR(__xludf.DUMMYFUNCTION("if(isblank(A3232),,split(A3232,""-""))"),"")</f>
        <v/>
      </c>
      <c r="K3232" s="13" t="str">
        <f>IFERROR(__xludf.DUMMYFUNCTION("if(isblank(B3232),,split(B3232,""-""))"),"")</f>
        <v/>
      </c>
    </row>
    <row r="3233">
      <c r="A3233" s="132"/>
      <c r="B3233" s="41"/>
      <c r="C3233" s="9"/>
      <c r="D3233" s="133"/>
      <c r="E3233" s="133"/>
      <c r="F3233" s="24"/>
      <c r="G3233" s="24"/>
      <c r="I3233" s="13" t="str">
        <f>IFERROR(__xludf.DUMMYFUNCTION("if(isblank(A3233),,split(A3233,""-""))"),"")</f>
        <v/>
      </c>
      <c r="K3233" s="13" t="str">
        <f>IFERROR(__xludf.DUMMYFUNCTION("if(isblank(B3233),,split(B3233,""-""))"),"")</f>
        <v/>
      </c>
    </row>
    <row r="3234">
      <c r="A3234" s="132"/>
      <c r="B3234" s="41"/>
      <c r="C3234" s="9"/>
      <c r="D3234" s="133"/>
      <c r="E3234" s="133"/>
      <c r="F3234" s="24"/>
      <c r="G3234" s="24"/>
      <c r="I3234" s="13" t="str">
        <f>IFERROR(__xludf.DUMMYFUNCTION("if(isblank(A3234),,split(A3234,""-""))"),"")</f>
        <v/>
      </c>
      <c r="K3234" s="13" t="str">
        <f>IFERROR(__xludf.DUMMYFUNCTION("if(isblank(B3234),,split(B3234,""-""))"),"")</f>
        <v/>
      </c>
    </row>
    <row r="3235">
      <c r="A3235" s="132"/>
      <c r="B3235" s="41"/>
      <c r="C3235" s="9"/>
      <c r="D3235" s="133"/>
      <c r="E3235" s="133"/>
      <c r="F3235" s="24"/>
      <c r="G3235" s="24"/>
      <c r="I3235" s="13" t="str">
        <f>IFERROR(__xludf.DUMMYFUNCTION("if(isblank(A3235),,split(A3235,""-""))"),"")</f>
        <v/>
      </c>
      <c r="K3235" s="13" t="str">
        <f>IFERROR(__xludf.DUMMYFUNCTION("if(isblank(B3235),,split(B3235,""-""))"),"")</f>
        <v/>
      </c>
    </row>
    <row r="3236">
      <c r="A3236" s="132"/>
      <c r="B3236" s="41"/>
      <c r="C3236" s="9"/>
      <c r="D3236" s="133"/>
      <c r="E3236" s="133"/>
      <c r="F3236" s="24"/>
      <c r="G3236" s="24"/>
      <c r="I3236" s="13" t="str">
        <f>IFERROR(__xludf.DUMMYFUNCTION("if(isblank(A3236),,split(A3236,""-""))"),"")</f>
        <v/>
      </c>
      <c r="K3236" s="13" t="str">
        <f>IFERROR(__xludf.DUMMYFUNCTION("if(isblank(B3236),,split(B3236,""-""))"),"")</f>
        <v/>
      </c>
    </row>
    <row r="3237">
      <c r="A3237" s="132"/>
      <c r="B3237" s="41"/>
      <c r="C3237" s="9"/>
      <c r="D3237" s="133"/>
      <c r="E3237" s="133"/>
      <c r="F3237" s="24"/>
      <c r="G3237" s="24"/>
      <c r="I3237" s="13" t="str">
        <f>IFERROR(__xludf.DUMMYFUNCTION("if(isblank(A3237),,split(A3237,""-""))"),"")</f>
        <v/>
      </c>
      <c r="K3237" s="13" t="str">
        <f>IFERROR(__xludf.DUMMYFUNCTION("if(isblank(B3237),,split(B3237,""-""))"),"")</f>
        <v/>
      </c>
    </row>
    <row r="3238">
      <c r="A3238" s="132"/>
      <c r="B3238" s="41"/>
      <c r="C3238" s="9"/>
      <c r="D3238" s="133"/>
      <c r="E3238" s="133"/>
      <c r="F3238" s="24"/>
      <c r="G3238" s="24"/>
      <c r="I3238" s="13" t="str">
        <f>IFERROR(__xludf.DUMMYFUNCTION("if(isblank(A3238),,split(A3238,""-""))"),"")</f>
        <v/>
      </c>
      <c r="K3238" s="13" t="str">
        <f>IFERROR(__xludf.DUMMYFUNCTION("if(isblank(B3238),,split(B3238,""-""))"),"")</f>
        <v/>
      </c>
    </row>
    <row r="3239">
      <c r="A3239" s="132"/>
      <c r="B3239" s="41"/>
      <c r="C3239" s="9"/>
      <c r="D3239" s="133"/>
      <c r="E3239" s="133"/>
      <c r="F3239" s="24"/>
      <c r="G3239" s="24"/>
      <c r="I3239" s="13" t="str">
        <f>IFERROR(__xludf.DUMMYFUNCTION("if(isblank(A3239),,split(A3239,""-""))"),"")</f>
        <v/>
      </c>
      <c r="K3239" s="13" t="str">
        <f>IFERROR(__xludf.DUMMYFUNCTION("if(isblank(B3239),,split(B3239,""-""))"),"")</f>
        <v/>
      </c>
    </row>
    <row r="3240">
      <c r="A3240" s="132"/>
      <c r="B3240" s="41"/>
      <c r="C3240" s="9"/>
      <c r="D3240" s="133"/>
      <c r="E3240" s="133"/>
      <c r="F3240" s="24"/>
      <c r="G3240" s="24"/>
      <c r="I3240" s="13" t="str">
        <f>IFERROR(__xludf.DUMMYFUNCTION("if(isblank(A3240),,split(A3240,""-""))"),"")</f>
        <v/>
      </c>
      <c r="K3240" s="13" t="str">
        <f>IFERROR(__xludf.DUMMYFUNCTION("if(isblank(B3240),,split(B3240,""-""))"),"")</f>
        <v/>
      </c>
    </row>
    <row r="3241">
      <c r="A3241" s="132"/>
      <c r="B3241" s="41"/>
      <c r="C3241" s="9"/>
      <c r="D3241" s="133"/>
      <c r="E3241" s="133"/>
      <c r="F3241" s="24"/>
      <c r="G3241" s="24"/>
      <c r="I3241" s="13" t="str">
        <f>IFERROR(__xludf.DUMMYFUNCTION("if(isblank(A3241),,split(A3241,""-""))"),"")</f>
        <v/>
      </c>
      <c r="K3241" s="13" t="str">
        <f>IFERROR(__xludf.DUMMYFUNCTION("if(isblank(B3241),,split(B3241,""-""))"),"")</f>
        <v/>
      </c>
    </row>
    <row r="3242">
      <c r="A3242" s="132"/>
      <c r="B3242" s="41"/>
      <c r="C3242" s="9"/>
      <c r="D3242" s="133"/>
      <c r="E3242" s="133"/>
      <c r="F3242" s="24"/>
      <c r="G3242" s="24"/>
      <c r="I3242" s="13" t="str">
        <f>IFERROR(__xludf.DUMMYFUNCTION("if(isblank(A3242),,split(A3242,""-""))"),"")</f>
        <v/>
      </c>
      <c r="K3242" s="13" t="str">
        <f>IFERROR(__xludf.DUMMYFUNCTION("if(isblank(B3242),,split(B3242,""-""))"),"")</f>
        <v/>
      </c>
    </row>
    <row r="3243">
      <c r="A3243" s="132"/>
      <c r="B3243" s="41"/>
      <c r="C3243" s="9"/>
      <c r="D3243" s="133"/>
      <c r="E3243" s="133"/>
      <c r="F3243" s="24"/>
      <c r="G3243" s="24"/>
      <c r="I3243" s="13" t="str">
        <f>IFERROR(__xludf.DUMMYFUNCTION("if(isblank(A3243),,split(A3243,""-""))"),"")</f>
        <v/>
      </c>
      <c r="K3243" s="13" t="str">
        <f>IFERROR(__xludf.DUMMYFUNCTION("if(isblank(B3243),,split(B3243,""-""))"),"")</f>
        <v/>
      </c>
    </row>
    <row r="3244">
      <c r="A3244" s="132"/>
      <c r="B3244" s="41"/>
      <c r="C3244" s="9"/>
      <c r="D3244" s="133"/>
      <c r="E3244" s="133"/>
      <c r="F3244" s="24"/>
      <c r="G3244" s="24"/>
      <c r="I3244" s="13" t="str">
        <f>IFERROR(__xludf.DUMMYFUNCTION("if(isblank(A3244),,split(A3244,""-""))"),"")</f>
        <v/>
      </c>
      <c r="K3244" s="13" t="str">
        <f>IFERROR(__xludf.DUMMYFUNCTION("if(isblank(B3244),,split(B3244,""-""))"),"")</f>
        <v/>
      </c>
    </row>
    <row r="3245">
      <c r="A3245" s="132"/>
      <c r="B3245" s="41"/>
      <c r="C3245" s="9"/>
      <c r="D3245" s="133"/>
      <c r="E3245" s="133"/>
      <c r="F3245" s="24"/>
      <c r="G3245" s="24"/>
      <c r="I3245" s="13" t="str">
        <f>IFERROR(__xludf.DUMMYFUNCTION("if(isblank(A3245),,split(A3245,""-""))"),"")</f>
        <v/>
      </c>
      <c r="K3245" s="13" t="str">
        <f>IFERROR(__xludf.DUMMYFUNCTION("if(isblank(B3245),,split(B3245,""-""))"),"")</f>
        <v/>
      </c>
    </row>
    <row r="3246">
      <c r="A3246" s="132"/>
      <c r="B3246" s="41"/>
      <c r="C3246" s="9"/>
      <c r="D3246" s="133"/>
      <c r="E3246" s="133"/>
      <c r="F3246" s="24"/>
      <c r="G3246" s="24"/>
      <c r="I3246" s="13" t="str">
        <f>IFERROR(__xludf.DUMMYFUNCTION("if(isblank(A3246),,split(A3246,""-""))"),"")</f>
        <v/>
      </c>
      <c r="K3246" s="13" t="str">
        <f>IFERROR(__xludf.DUMMYFUNCTION("if(isblank(B3246),,split(B3246,""-""))"),"")</f>
        <v/>
      </c>
    </row>
    <row r="3247">
      <c r="A3247" s="132"/>
      <c r="B3247" s="41"/>
      <c r="C3247" s="9"/>
      <c r="D3247" s="133"/>
      <c r="E3247" s="133"/>
      <c r="F3247" s="24"/>
      <c r="G3247" s="24"/>
      <c r="I3247" s="13" t="str">
        <f>IFERROR(__xludf.DUMMYFUNCTION("if(isblank(A3247),,split(A3247,""-""))"),"")</f>
        <v/>
      </c>
      <c r="K3247" s="13" t="str">
        <f>IFERROR(__xludf.DUMMYFUNCTION("if(isblank(B3247),,split(B3247,""-""))"),"")</f>
        <v/>
      </c>
    </row>
    <row r="3248">
      <c r="A3248" s="132"/>
      <c r="B3248" s="41"/>
      <c r="C3248" s="9"/>
      <c r="D3248" s="133"/>
      <c r="E3248" s="133"/>
      <c r="F3248" s="24"/>
      <c r="G3248" s="24"/>
      <c r="I3248" s="13" t="str">
        <f>IFERROR(__xludf.DUMMYFUNCTION("if(isblank(A3248),,split(A3248,""-""))"),"")</f>
        <v/>
      </c>
      <c r="K3248" s="13" t="str">
        <f>IFERROR(__xludf.DUMMYFUNCTION("if(isblank(B3248),,split(B3248,""-""))"),"")</f>
        <v/>
      </c>
    </row>
    <row r="3249">
      <c r="A3249" s="132"/>
      <c r="B3249" s="41"/>
      <c r="C3249" s="9"/>
      <c r="D3249" s="133"/>
      <c r="E3249" s="133"/>
      <c r="F3249" s="24"/>
      <c r="G3249" s="24"/>
      <c r="I3249" s="13" t="str">
        <f>IFERROR(__xludf.DUMMYFUNCTION("if(isblank(A3249),,split(A3249,""-""))"),"")</f>
        <v/>
      </c>
      <c r="K3249" s="13" t="str">
        <f>IFERROR(__xludf.DUMMYFUNCTION("if(isblank(B3249),,split(B3249,""-""))"),"")</f>
        <v/>
      </c>
    </row>
    <row r="3250">
      <c r="A3250" s="132"/>
      <c r="B3250" s="41"/>
      <c r="C3250" s="9"/>
      <c r="D3250" s="133"/>
      <c r="E3250" s="133"/>
      <c r="F3250" s="24"/>
      <c r="G3250" s="24"/>
      <c r="I3250" s="13" t="str">
        <f>IFERROR(__xludf.DUMMYFUNCTION("if(isblank(A3250),,split(A3250,""-""))"),"")</f>
        <v/>
      </c>
      <c r="K3250" s="13" t="str">
        <f>IFERROR(__xludf.DUMMYFUNCTION("if(isblank(B3250),,split(B3250,""-""))"),"")</f>
        <v/>
      </c>
    </row>
    <row r="3251">
      <c r="A3251" s="132"/>
      <c r="B3251" s="41"/>
      <c r="C3251" s="9"/>
      <c r="D3251" s="133"/>
      <c r="E3251" s="133"/>
      <c r="F3251" s="24"/>
      <c r="G3251" s="24"/>
      <c r="I3251" s="13" t="str">
        <f>IFERROR(__xludf.DUMMYFUNCTION("if(isblank(A3251),,split(A3251,""-""))"),"")</f>
        <v/>
      </c>
      <c r="K3251" s="13" t="str">
        <f>IFERROR(__xludf.DUMMYFUNCTION("if(isblank(B3251),,split(B3251,""-""))"),"")</f>
        <v/>
      </c>
    </row>
    <row r="3252">
      <c r="A3252" s="132"/>
      <c r="B3252" s="41"/>
      <c r="C3252" s="9"/>
      <c r="D3252" s="133"/>
      <c r="E3252" s="133"/>
      <c r="F3252" s="24"/>
      <c r="G3252" s="24"/>
      <c r="I3252" s="13" t="str">
        <f>IFERROR(__xludf.DUMMYFUNCTION("if(isblank(A3252),,split(A3252,""-""))"),"")</f>
        <v/>
      </c>
      <c r="K3252" s="13" t="str">
        <f>IFERROR(__xludf.DUMMYFUNCTION("if(isblank(B3252),,split(B3252,""-""))"),"")</f>
        <v/>
      </c>
    </row>
    <row r="3253">
      <c r="A3253" s="132"/>
      <c r="B3253" s="41"/>
      <c r="C3253" s="9"/>
      <c r="D3253" s="133"/>
      <c r="E3253" s="133"/>
      <c r="F3253" s="24"/>
      <c r="G3253" s="24"/>
      <c r="I3253" s="13" t="str">
        <f>IFERROR(__xludf.DUMMYFUNCTION("if(isblank(A3253),,split(A3253,""-""))"),"")</f>
        <v/>
      </c>
      <c r="K3253" s="13" t="str">
        <f>IFERROR(__xludf.DUMMYFUNCTION("if(isblank(B3253),,split(B3253,""-""))"),"")</f>
        <v/>
      </c>
    </row>
    <row r="3254">
      <c r="A3254" s="132"/>
      <c r="B3254" s="41"/>
      <c r="C3254" s="9"/>
      <c r="D3254" s="133"/>
      <c r="E3254" s="133"/>
      <c r="F3254" s="24"/>
      <c r="G3254" s="24"/>
      <c r="I3254" s="13" t="str">
        <f>IFERROR(__xludf.DUMMYFUNCTION("if(isblank(A3254),,split(A3254,""-""))"),"")</f>
        <v/>
      </c>
      <c r="K3254" s="13" t="str">
        <f>IFERROR(__xludf.DUMMYFUNCTION("if(isblank(B3254),,split(B3254,""-""))"),"")</f>
        <v/>
      </c>
    </row>
    <row r="3255">
      <c r="A3255" s="132"/>
      <c r="B3255" s="41"/>
      <c r="C3255" s="9"/>
      <c r="D3255" s="133"/>
      <c r="E3255" s="133"/>
      <c r="F3255" s="24"/>
      <c r="G3255" s="24"/>
      <c r="I3255" s="13" t="str">
        <f>IFERROR(__xludf.DUMMYFUNCTION("if(isblank(A3255),,split(A3255,""-""))"),"")</f>
        <v/>
      </c>
      <c r="K3255" s="13" t="str">
        <f>IFERROR(__xludf.DUMMYFUNCTION("if(isblank(B3255),,split(B3255,""-""))"),"")</f>
        <v/>
      </c>
    </row>
    <row r="3256">
      <c r="A3256" s="132"/>
      <c r="B3256" s="41"/>
      <c r="C3256" s="9"/>
      <c r="D3256" s="133"/>
      <c r="E3256" s="133"/>
      <c r="F3256" s="24"/>
      <c r="G3256" s="24"/>
      <c r="I3256" s="13" t="str">
        <f>IFERROR(__xludf.DUMMYFUNCTION("if(isblank(A3256),,split(A3256,""-""))"),"")</f>
        <v/>
      </c>
      <c r="K3256" s="13" t="str">
        <f>IFERROR(__xludf.DUMMYFUNCTION("if(isblank(B3256),,split(B3256,""-""))"),"")</f>
        <v/>
      </c>
    </row>
    <row r="3257">
      <c r="A3257" s="132"/>
      <c r="B3257" s="41"/>
      <c r="C3257" s="9"/>
      <c r="D3257" s="133"/>
      <c r="E3257" s="133"/>
      <c r="F3257" s="24"/>
      <c r="G3257" s="24"/>
      <c r="I3257" s="13" t="str">
        <f>IFERROR(__xludf.DUMMYFUNCTION("if(isblank(A3257),,split(A3257,""-""))"),"")</f>
        <v/>
      </c>
      <c r="K3257" s="13" t="str">
        <f>IFERROR(__xludf.DUMMYFUNCTION("if(isblank(B3257),,split(B3257,""-""))"),"")</f>
        <v/>
      </c>
    </row>
    <row r="3258">
      <c r="A3258" s="132"/>
      <c r="B3258" s="41"/>
      <c r="C3258" s="9"/>
      <c r="D3258" s="133"/>
      <c r="E3258" s="133"/>
      <c r="F3258" s="24"/>
      <c r="G3258" s="24"/>
      <c r="I3258" s="13" t="str">
        <f>IFERROR(__xludf.DUMMYFUNCTION("if(isblank(A3258),,split(A3258,""-""))"),"")</f>
        <v/>
      </c>
      <c r="K3258" s="13" t="str">
        <f>IFERROR(__xludf.DUMMYFUNCTION("if(isblank(B3258),,split(B3258,""-""))"),"")</f>
        <v/>
      </c>
    </row>
    <row r="3259">
      <c r="A3259" s="132"/>
      <c r="B3259" s="41"/>
      <c r="C3259" s="9"/>
      <c r="D3259" s="133"/>
      <c r="E3259" s="133"/>
      <c r="F3259" s="24"/>
      <c r="G3259" s="24"/>
      <c r="I3259" s="13" t="str">
        <f>IFERROR(__xludf.DUMMYFUNCTION("if(isblank(A3259),,split(A3259,""-""))"),"")</f>
        <v/>
      </c>
      <c r="K3259" s="13" t="str">
        <f>IFERROR(__xludf.DUMMYFUNCTION("if(isblank(B3259),,split(B3259,""-""))"),"")</f>
        <v/>
      </c>
    </row>
    <row r="3260">
      <c r="A3260" s="132"/>
      <c r="B3260" s="41"/>
      <c r="C3260" s="9"/>
      <c r="D3260" s="133"/>
      <c r="E3260" s="133"/>
      <c r="F3260" s="24"/>
      <c r="G3260" s="24"/>
      <c r="I3260" s="13" t="str">
        <f>IFERROR(__xludf.DUMMYFUNCTION("if(isblank(A3260),,split(A3260,""-""))"),"")</f>
        <v/>
      </c>
      <c r="K3260" s="13" t="str">
        <f>IFERROR(__xludf.DUMMYFUNCTION("if(isblank(B3260),,split(B3260,""-""))"),"")</f>
        <v/>
      </c>
    </row>
    <row r="3261">
      <c r="A3261" s="132"/>
      <c r="B3261" s="41"/>
      <c r="C3261" s="9"/>
      <c r="D3261" s="133"/>
      <c r="E3261" s="133"/>
      <c r="F3261" s="24"/>
      <c r="G3261" s="24"/>
      <c r="I3261" s="13" t="str">
        <f>IFERROR(__xludf.DUMMYFUNCTION("if(isblank(A3261),,split(A3261,""-""))"),"")</f>
        <v/>
      </c>
      <c r="K3261" s="13" t="str">
        <f>IFERROR(__xludf.DUMMYFUNCTION("if(isblank(B3261),,split(B3261,""-""))"),"")</f>
        <v/>
      </c>
    </row>
    <row r="3262">
      <c r="A3262" s="132"/>
      <c r="B3262" s="41"/>
      <c r="C3262" s="9"/>
      <c r="D3262" s="133"/>
      <c r="E3262" s="133"/>
      <c r="F3262" s="24"/>
      <c r="G3262" s="24"/>
      <c r="I3262" s="13" t="str">
        <f>IFERROR(__xludf.DUMMYFUNCTION("if(isblank(A3262),,split(A3262,""-""))"),"")</f>
        <v/>
      </c>
      <c r="K3262" s="13" t="str">
        <f>IFERROR(__xludf.DUMMYFUNCTION("if(isblank(B3262),,split(B3262,""-""))"),"")</f>
        <v/>
      </c>
    </row>
    <row r="3263">
      <c r="A3263" s="132"/>
      <c r="B3263" s="41"/>
      <c r="C3263" s="9"/>
      <c r="D3263" s="133"/>
      <c r="E3263" s="133"/>
      <c r="F3263" s="24"/>
      <c r="G3263" s="24"/>
      <c r="I3263" s="13" t="str">
        <f>IFERROR(__xludf.DUMMYFUNCTION("if(isblank(A3263),,split(A3263,""-""))"),"")</f>
        <v/>
      </c>
      <c r="K3263" s="13" t="str">
        <f>IFERROR(__xludf.DUMMYFUNCTION("if(isblank(B3263),,split(B3263,""-""))"),"")</f>
        <v/>
      </c>
    </row>
    <row r="3264">
      <c r="A3264" s="132"/>
      <c r="B3264" s="41"/>
      <c r="C3264" s="9"/>
      <c r="D3264" s="133"/>
      <c r="E3264" s="133"/>
      <c r="F3264" s="24"/>
      <c r="G3264" s="24"/>
      <c r="I3264" s="13" t="str">
        <f>IFERROR(__xludf.DUMMYFUNCTION("if(isblank(A3264),,split(A3264,""-""))"),"")</f>
        <v/>
      </c>
      <c r="K3264" s="13" t="str">
        <f>IFERROR(__xludf.DUMMYFUNCTION("if(isblank(B3264),,split(B3264,""-""))"),"")</f>
        <v/>
      </c>
    </row>
    <row r="3265">
      <c r="A3265" s="132"/>
      <c r="B3265" s="41"/>
      <c r="C3265" s="9"/>
      <c r="D3265" s="133"/>
      <c r="E3265" s="133"/>
      <c r="F3265" s="24"/>
      <c r="G3265" s="24"/>
      <c r="I3265" s="13" t="str">
        <f>IFERROR(__xludf.DUMMYFUNCTION("if(isblank(A3265),,split(A3265,""-""))"),"")</f>
        <v/>
      </c>
      <c r="K3265" s="13" t="str">
        <f>IFERROR(__xludf.DUMMYFUNCTION("if(isblank(B3265),,split(B3265,""-""))"),"")</f>
        <v/>
      </c>
    </row>
    <row r="3266">
      <c r="A3266" s="132"/>
      <c r="B3266" s="41"/>
      <c r="C3266" s="9"/>
      <c r="D3266" s="133"/>
      <c r="E3266" s="133"/>
      <c r="F3266" s="24"/>
      <c r="G3266" s="24"/>
      <c r="I3266" s="13" t="str">
        <f>IFERROR(__xludf.DUMMYFUNCTION("if(isblank(A3266),,split(A3266,""-""))"),"")</f>
        <v/>
      </c>
      <c r="K3266" s="13" t="str">
        <f>IFERROR(__xludf.DUMMYFUNCTION("if(isblank(B3266),,split(B3266,""-""))"),"")</f>
        <v/>
      </c>
    </row>
    <row r="3267">
      <c r="A3267" s="132"/>
      <c r="B3267" s="41"/>
      <c r="C3267" s="9"/>
      <c r="D3267" s="133"/>
      <c r="E3267" s="133"/>
      <c r="F3267" s="24"/>
      <c r="G3267" s="24"/>
      <c r="I3267" s="13" t="str">
        <f>IFERROR(__xludf.DUMMYFUNCTION("if(isblank(A3267),,split(A3267,""-""))"),"")</f>
        <v/>
      </c>
      <c r="K3267" s="13" t="str">
        <f>IFERROR(__xludf.DUMMYFUNCTION("if(isblank(B3267),,split(B3267,""-""))"),"")</f>
        <v/>
      </c>
    </row>
    <row r="3268">
      <c r="A3268" s="132"/>
      <c r="B3268" s="41"/>
      <c r="C3268" s="9"/>
      <c r="D3268" s="133"/>
      <c r="E3268" s="133"/>
      <c r="F3268" s="24"/>
      <c r="G3268" s="24"/>
      <c r="I3268" s="13" t="str">
        <f>IFERROR(__xludf.DUMMYFUNCTION("if(isblank(A3268),,split(A3268,""-""))"),"")</f>
        <v/>
      </c>
      <c r="K3268" s="13" t="str">
        <f>IFERROR(__xludf.DUMMYFUNCTION("if(isblank(B3268),,split(B3268,""-""))"),"")</f>
        <v/>
      </c>
    </row>
    <row r="3269">
      <c r="A3269" s="132"/>
      <c r="B3269" s="41"/>
      <c r="C3269" s="9"/>
      <c r="D3269" s="133"/>
      <c r="E3269" s="133"/>
      <c r="F3269" s="24"/>
      <c r="G3269" s="24"/>
      <c r="I3269" s="13" t="str">
        <f>IFERROR(__xludf.DUMMYFUNCTION("if(isblank(A3269),,split(A3269,""-""))"),"")</f>
        <v/>
      </c>
      <c r="K3269" s="13" t="str">
        <f>IFERROR(__xludf.DUMMYFUNCTION("if(isblank(B3269),,split(B3269,""-""))"),"")</f>
        <v/>
      </c>
    </row>
    <row r="3270">
      <c r="A3270" s="132"/>
      <c r="B3270" s="41"/>
      <c r="C3270" s="9"/>
      <c r="D3270" s="133"/>
      <c r="E3270" s="133"/>
      <c r="F3270" s="24"/>
      <c r="G3270" s="24"/>
      <c r="I3270" s="13" t="str">
        <f>IFERROR(__xludf.DUMMYFUNCTION("if(isblank(A3270),,split(A3270,""-""))"),"")</f>
        <v/>
      </c>
      <c r="K3270" s="13" t="str">
        <f>IFERROR(__xludf.DUMMYFUNCTION("if(isblank(B3270),,split(B3270,""-""))"),"")</f>
        <v/>
      </c>
    </row>
    <row r="3271">
      <c r="A3271" s="132"/>
      <c r="B3271" s="41"/>
      <c r="C3271" s="9"/>
      <c r="D3271" s="133"/>
      <c r="E3271" s="133"/>
      <c r="F3271" s="24"/>
      <c r="G3271" s="24"/>
      <c r="I3271" s="13" t="str">
        <f>IFERROR(__xludf.DUMMYFUNCTION("if(isblank(A3271),,split(A3271,""-""))"),"")</f>
        <v/>
      </c>
      <c r="K3271" s="13" t="str">
        <f>IFERROR(__xludf.DUMMYFUNCTION("if(isblank(B3271),,split(B3271,""-""))"),"")</f>
        <v/>
      </c>
    </row>
    <row r="3272">
      <c r="A3272" s="132"/>
      <c r="B3272" s="41"/>
      <c r="C3272" s="9"/>
      <c r="D3272" s="133"/>
      <c r="E3272" s="133"/>
      <c r="F3272" s="24"/>
      <c r="G3272" s="24"/>
      <c r="I3272" s="13" t="str">
        <f>IFERROR(__xludf.DUMMYFUNCTION("if(isblank(A3272),,split(A3272,""-""))"),"")</f>
        <v/>
      </c>
      <c r="K3272" s="13" t="str">
        <f>IFERROR(__xludf.DUMMYFUNCTION("if(isblank(B3272),,split(B3272,""-""))"),"")</f>
        <v/>
      </c>
    </row>
    <row r="3273">
      <c r="A3273" s="132"/>
      <c r="B3273" s="41"/>
      <c r="C3273" s="9"/>
      <c r="D3273" s="133"/>
      <c r="E3273" s="133"/>
      <c r="F3273" s="24"/>
      <c r="G3273" s="24"/>
      <c r="I3273" s="13" t="str">
        <f>IFERROR(__xludf.DUMMYFUNCTION("if(isblank(A3273),,split(A3273,""-""))"),"")</f>
        <v/>
      </c>
      <c r="K3273" s="13" t="str">
        <f>IFERROR(__xludf.DUMMYFUNCTION("if(isblank(B3273),,split(B3273,""-""))"),"")</f>
        <v/>
      </c>
    </row>
    <row r="3274">
      <c r="A3274" s="132"/>
      <c r="B3274" s="41"/>
      <c r="C3274" s="9"/>
      <c r="D3274" s="133"/>
      <c r="E3274" s="133"/>
      <c r="F3274" s="24"/>
      <c r="G3274" s="24"/>
      <c r="I3274" s="13" t="str">
        <f>IFERROR(__xludf.DUMMYFUNCTION("if(isblank(A3274),,split(A3274,""-""))"),"")</f>
        <v/>
      </c>
      <c r="K3274" s="13" t="str">
        <f>IFERROR(__xludf.DUMMYFUNCTION("if(isblank(B3274),,split(B3274,""-""))"),"")</f>
        <v/>
      </c>
    </row>
    <row r="3275">
      <c r="A3275" s="132"/>
      <c r="B3275" s="41"/>
      <c r="C3275" s="9"/>
      <c r="D3275" s="133"/>
      <c r="E3275" s="133"/>
      <c r="F3275" s="24"/>
      <c r="G3275" s="24"/>
      <c r="I3275" s="13" t="str">
        <f>IFERROR(__xludf.DUMMYFUNCTION("if(isblank(A3275),,split(A3275,""-""))"),"")</f>
        <v/>
      </c>
      <c r="K3275" s="13" t="str">
        <f>IFERROR(__xludf.DUMMYFUNCTION("if(isblank(B3275),,split(B3275,""-""))"),"")</f>
        <v/>
      </c>
    </row>
    <row r="3276">
      <c r="A3276" s="132"/>
      <c r="B3276" s="41"/>
      <c r="C3276" s="9"/>
      <c r="D3276" s="133"/>
      <c r="E3276" s="133"/>
      <c r="F3276" s="24"/>
      <c r="G3276" s="24"/>
      <c r="I3276" s="13" t="str">
        <f>IFERROR(__xludf.DUMMYFUNCTION("if(isblank(A3276),,split(A3276,""-""))"),"")</f>
        <v/>
      </c>
      <c r="K3276" s="13" t="str">
        <f>IFERROR(__xludf.DUMMYFUNCTION("if(isblank(B3276),,split(B3276,""-""))"),"")</f>
        <v/>
      </c>
    </row>
    <row r="3277">
      <c r="A3277" s="132"/>
      <c r="B3277" s="41"/>
      <c r="C3277" s="9"/>
      <c r="D3277" s="133"/>
      <c r="E3277" s="133"/>
      <c r="F3277" s="24"/>
      <c r="G3277" s="24"/>
      <c r="I3277" s="13" t="str">
        <f>IFERROR(__xludf.DUMMYFUNCTION("if(isblank(A3277),,split(A3277,""-""))"),"")</f>
        <v/>
      </c>
      <c r="K3277" s="13" t="str">
        <f>IFERROR(__xludf.DUMMYFUNCTION("if(isblank(B3277),,split(B3277,""-""))"),"")</f>
        <v/>
      </c>
    </row>
    <row r="3278">
      <c r="A3278" s="132"/>
      <c r="B3278" s="41"/>
      <c r="C3278" s="9"/>
      <c r="D3278" s="133"/>
      <c r="E3278" s="133"/>
      <c r="F3278" s="24"/>
      <c r="G3278" s="24"/>
      <c r="I3278" s="13" t="str">
        <f>IFERROR(__xludf.DUMMYFUNCTION("if(isblank(A3278),,split(A3278,""-""))"),"")</f>
        <v/>
      </c>
      <c r="K3278" s="13" t="str">
        <f>IFERROR(__xludf.DUMMYFUNCTION("if(isblank(B3278),,split(B3278,""-""))"),"")</f>
        <v/>
      </c>
    </row>
    <row r="3279">
      <c r="A3279" s="132"/>
      <c r="B3279" s="41"/>
      <c r="C3279" s="9"/>
      <c r="D3279" s="133"/>
      <c r="E3279" s="133"/>
      <c r="F3279" s="24"/>
      <c r="G3279" s="24"/>
      <c r="I3279" s="13" t="str">
        <f>IFERROR(__xludf.DUMMYFUNCTION("if(isblank(A3279),,split(A3279,""-""))"),"")</f>
        <v/>
      </c>
      <c r="K3279" s="13" t="str">
        <f>IFERROR(__xludf.DUMMYFUNCTION("if(isblank(B3279),,split(B3279,""-""))"),"")</f>
        <v/>
      </c>
    </row>
    <row r="3280">
      <c r="A3280" s="132"/>
      <c r="B3280" s="41"/>
      <c r="C3280" s="9"/>
      <c r="D3280" s="133"/>
      <c r="E3280" s="133"/>
      <c r="F3280" s="24"/>
      <c r="G3280" s="24"/>
      <c r="I3280" s="13" t="str">
        <f>IFERROR(__xludf.DUMMYFUNCTION("if(isblank(A3280),,split(A3280,""-""))"),"")</f>
        <v/>
      </c>
      <c r="K3280" s="13" t="str">
        <f>IFERROR(__xludf.DUMMYFUNCTION("if(isblank(B3280),,split(B3280,""-""))"),"")</f>
        <v/>
      </c>
    </row>
    <row r="3281">
      <c r="A3281" s="132"/>
      <c r="B3281" s="41"/>
      <c r="C3281" s="9"/>
      <c r="D3281" s="133"/>
      <c r="E3281" s="133"/>
      <c r="F3281" s="24"/>
      <c r="G3281" s="24"/>
      <c r="I3281" s="13" t="str">
        <f>IFERROR(__xludf.DUMMYFUNCTION("if(isblank(A3281),,split(A3281,""-""))"),"")</f>
        <v/>
      </c>
      <c r="K3281" s="13" t="str">
        <f>IFERROR(__xludf.DUMMYFUNCTION("if(isblank(B3281),,split(B3281,""-""))"),"")</f>
        <v/>
      </c>
    </row>
    <row r="3282">
      <c r="A3282" s="132"/>
      <c r="B3282" s="41"/>
      <c r="C3282" s="9"/>
      <c r="D3282" s="133"/>
      <c r="E3282" s="133"/>
      <c r="F3282" s="24"/>
      <c r="G3282" s="24"/>
      <c r="I3282" s="13" t="str">
        <f>IFERROR(__xludf.DUMMYFUNCTION("if(isblank(A3282),,split(A3282,""-""))"),"")</f>
        <v/>
      </c>
      <c r="K3282" s="13" t="str">
        <f>IFERROR(__xludf.DUMMYFUNCTION("if(isblank(B3282),,split(B3282,""-""))"),"")</f>
        <v/>
      </c>
    </row>
    <row r="3283">
      <c r="A3283" s="132"/>
      <c r="B3283" s="41"/>
      <c r="C3283" s="9"/>
      <c r="D3283" s="133"/>
      <c r="E3283" s="133"/>
      <c r="F3283" s="24"/>
      <c r="G3283" s="24"/>
      <c r="I3283" s="13" t="str">
        <f>IFERROR(__xludf.DUMMYFUNCTION("if(isblank(A3283),,split(A3283,""-""))"),"")</f>
        <v/>
      </c>
      <c r="K3283" s="13" t="str">
        <f>IFERROR(__xludf.DUMMYFUNCTION("if(isblank(B3283),,split(B3283,""-""))"),"")</f>
        <v/>
      </c>
    </row>
    <row r="3284">
      <c r="A3284" s="132"/>
      <c r="B3284" s="41"/>
      <c r="C3284" s="9"/>
      <c r="D3284" s="133"/>
      <c r="E3284" s="133"/>
      <c r="F3284" s="24"/>
      <c r="G3284" s="24"/>
      <c r="I3284" s="13" t="str">
        <f>IFERROR(__xludf.DUMMYFUNCTION("if(isblank(A3284),,split(A3284,""-""))"),"")</f>
        <v/>
      </c>
      <c r="K3284" s="13" t="str">
        <f>IFERROR(__xludf.DUMMYFUNCTION("if(isblank(B3284),,split(B3284,""-""))"),"")</f>
        <v/>
      </c>
    </row>
    <row r="3285">
      <c r="A3285" s="132"/>
      <c r="B3285" s="41"/>
      <c r="C3285" s="9"/>
      <c r="D3285" s="133"/>
      <c r="E3285" s="133"/>
      <c r="F3285" s="24"/>
      <c r="G3285" s="24"/>
      <c r="I3285" s="13" t="str">
        <f>IFERROR(__xludf.DUMMYFUNCTION("if(isblank(A3285),,split(A3285,""-""))"),"")</f>
        <v/>
      </c>
      <c r="K3285" s="13" t="str">
        <f>IFERROR(__xludf.DUMMYFUNCTION("if(isblank(B3285),,split(B3285,""-""))"),"")</f>
        <v/>
      </c>
    </row>
    <row r="3286">
      <c r="A3286" s="132"/>
      <c r="B3286" s="41"/>
      <c r="C3286" s="9"/>
      <c r="D3286" s="133"/>
      <c r="E3286" s="133"/>
      <c r="F3286" s="24"/>
      <c r="G3286" s="24"/>
      <c r="I3286" s="13" t="str">
        <f>IFERROR(__xludf.DUMMYFUNCTION("if(isblank(A3286),,split(A3286,""-""))"),"")</f>
        <v/>
      </c>
      <c r="K3286" s="13" t="str">
        <f>IFERROR(__xludf.DUMMYFUNCTION("if(isblank(B3286),,split(B3286,""-""))"),"")</f>
        <v/>
      </c>
    </row>
    <row r="3287">
      <c r="A3287" s="132"/>
      <c r="B3287" s="41"/>
      <c r="C3287" s="9"/>
      <c r="D3287" s="133"/>
      <c r="E3287" s="133"/>
      <c r="F3287" s="24"/>
      <c r="G3287" s="24"/>
      <c r="I3287" s="13" t="str">
        <f>IFERROR(__xludf.DUMMYFUNCTION("if(isblank(A3287),,split(A3287,""-""))"),"")</f>
        <v/>
      </c>
      <c r="K3287" s="13" t="str">
        <f>IFERROR(__xludf.DUMMYFUNCTION("if(isblank(B3287),,split(B3287,""-""))"),"")</f>
        <v/>
      </c>
    </row>
    <row r="3288">
      <c r="A3288" s="132"/>
      <c r="B3288" s="41"/>
      <c r="C3288" s="9"/>
      <c r="D3288" s="133"/>
      <c r="E3288" s="133"/>
      <c r="F3288" s="24"/>
      <c r="G3288" s="24"/>
      <c r="I3288" s="13" t="str">
        <f>IFERROR(__xludf.DUMMYFUNCTION("if(isblank(A3288),,split(A3288,""-""))"),"")</f>
        <v/>
      </c>
      <c r="K3288" s="13" t="str">
        <f>IFERROR(__xludf.DUMMYFUNCTION("if(isblank(B3288),,split(B3288,""-""))"),"")</f>
        <v/>
      </c>
    </row>
    <row r="3289">
      <c r="A3289" s="132"/>
      <c r="B3289" s="41"/>
      <c r="C3289" s="9"/>
      <c r="D3289" s="133"/>
      <c r="E3289" s="133"/>
      <c r="F3289" s="24"/>
      <c r="G3289" s="24"/>
      <c r="I3289" s="13" t="str">
        <f>IFERROR(__xludf.DUMMYFUNCTION("if(isblank(A3289),,split(A3289,""-""))"),"")</f>
        <v/>
      </c>
      <c r="K3289" s="13" t="str">
        <f>IFERROR(__xludf.DUMMYFUNCTION("if(isblank(B3289),,split(B3289,""-""))"),"")</f>
        <v/>
      </c>
    </row>
    <row r="3290">
      <c r="A3290" s="132"/>
      <c r="B3290" s="41"/>
      <c r="C3290" s="9"/>
      <c r="D3290" s="133"/>
      <c r="E3290" s="133"/>
      <c r="F3290" s="24"/>
      <c r="G3290" s="24"/>
      <c r="I3290" s="13" t="str">
        <f>IFERROR(__xludf.DUMMYFUNCTION("if(isblank(A3290),,split(A3290,""-""))"),"")</f>
        <v/>
      </c>
      <c r="K3290" s="13" t="str">
        <f>IFERROR(__xludf.DUMMYFUNCTION("if(isblank(B3290),,split(B3290,""-""))"),"")</f>
        <v/>
      </c>
    </row>
    <row r="3291">
      <c r="A3291" s="132"/>
      <c r="B3291" s="41"/>
      <c r="C3291" s="9"/>
      <c r="D3291" s="133"/>
      <c r="E3291" s="133"/>
      <c r="F3291" s="24"/>
      <c r="G3291" s="24"/>
      <c r="I3291" s="13" t="str">
        <f>IFERROR(__xludf.DUMMYFUNCTION("if(isblank(A3291),,split(A3291,""-""))"),"")</f>
        <v/>
      </c>
      <c r="K3291" s="13" t="str">
        <f>IFERROR(__xludf.DUMMYFUNCTION("if(isblank(B3291),,split(B3291,""-""))"),"")</f>
        <v/>
      </c>
    </row>
    <row r="3292">
      <c r="A3292" s="132"/>
      <c r="B3292" s="41"/>
      <c r="C3292" s="9"/>
      <c r="D3292" s="133"/>
      <c r="E3292" s="133"/>
      <c r="F3292" s="24"/>
      <c r="G3292" s="24"/>
      <c r="I3292" s="13" t="str">
        <f>IFERROR(__xludf.DUMMYFUNCTION("if(isblank(A3292),,split(A3292,""-""))"),"")</f>
        <v/>
      </c>
      <c r="K3292" s="13" t="str">
        <f>IFERROR(__xludf.DUMMYFUNCTION("if(isblank(B3292),,split(B3292,""-""))"),"")</f>
        <v/>
      </c>
    </row>
    <row r="3293">
      <c r="A3293" s="132"/>
      <c r="B3293" s="41"/>
      <c r="C3293" s="9"/>
      <c r="D3293" s="133"/>
      <c r="E3293" s="133"/>
      <c r="F3293" s="24"/>
      <c r="G3293" s="24"/>
      <c r="I3293" s="13" t="str">
        <f>IFERROR(__xludf.DUMMYFUNCTION("if(isblank(A3293),,split(A3293,""-""))"),"")</f>
        <v/>
      </c>
      <c r="K3293" s="13" t="str">
        <f>IFERROR(__xludf.DUMMYFUNCTION("if(isblank(B3293),,split(B3293,""-""))"),"")</f>
        <v/>
      </c>
    </row>
    <row r="3294">
      <c r="A3294" s="132"/>
      <c r="B3294" s="41"/>
      <c r="C3294" s="9"/>
      <c r="D3294" s="133"/>
      <c r="E3294" s="133"/>
      <c r="F3294" s="24"/>
      <c r="G3294" s="24"/>
      <c r="I3294" s="13" t="str">
        <f>IFERROR(__xludf.DUMMYFUNCTION("if(isblank(A3294),,split(A3294,""-""))"),"")</f>
        <v/>
      </c>
      <c r="K3294" s="13" t="str">
        <f>IFERROR(__xludf.DUMMYFUNCTION("if(isblank(B3294),,split(B3294,""-""))"),"")</f>
        <v/>
      </c>
    </row>
    <row r="3295">
      <c r="A3295" s="132"/>
      <c r="B3295" s="41"/>
      <c r="C3295" s="9"/>
      <c r="D3295" s="133"/>
      <c r="E3295" s="133"/>
      <c r="F3295" s="24"/>
      <c r="G3295" s="24"/>
      <c r="I3295" s="13" t="str">
        <f>IFERROR(__xludf.DUMMYFUNCTION("if(isblank(A3295),,split(A3295,""-""))"),"")</f>
        <v/>
      </c>
      <c r="K3295" s="13" t="str">
        <f>IFERROR(__xludf.DUMMYFUNCTION("if(isblank(B3295),,split(B3295,""-""))"),"")</f>
        <v/>
      </c>
    </row>
    <row r="3296">
      <c r="A3296" s="132"/>
      <c r="B3296" s="41"/>
      <c r="C3296" s="9"/>
      <c r="D3296" s="133"/>
      <c r="E3296" s="133"/>
      <c r="F3296" s="24"/>
      <c r="G3296" s="24"/>
      <c r="I3296" s="13" t="str">
        <f>IFERROR(__xludf.DUMMYFUNCTION("if(isblank(A3296),,split(A3296,""-""))"),"")</f>
        <v/>
      </c>
      <c r="K3296" s="13" t="str">
        <f>IFERROR(__xludf.DUMMYFUNCTION("if(isblank(B3296),,split(B3296,""-""))"),"")</f>
        <v/>
      </c>
    </row>
    <row r="3297">
      <c r="A3297" s="132"/>
      <c r="B3297" s="41"/>
      <c r="C3297" s="9"/>
      <c r="D3297" s="133"/>
      <c r="E3297" s="133"/>
      <c r="F3297" s="24"/>
      <c r="G3297" s="24"/>
      <c r="I3297" s="13" t="str">
        <f>IFERROR(__xludf.DUMMYFUNCTION("if(isblank(A3297),,split(A3297,""-""))"),"")</f>
        <v/>
      </c>
      <c r="K3297" s="13" t="str">
        <f>IFERROR(__xludf.DUMMYFUNCTION("if(isblank(B3297),,split(B3297,""-""))"),"")</f>
        <v/>
      </c>
    </row>
    <row r="3298">
      <c r="A3298" s="132"/>
      <c r="B3298" s="41"/>
      <c r="C3298" s="9"/>
      <c r="D3298" s="133"/>
      <c r="E3298" s="133"/>
      <c r="F3298" s="24"/>
      <c r="G3298" s="24"/>
      <c r="I3298" s="13" t="str">
        <f>IFERROR(__xludf.DUMMYFUNCTION("if(isblank(A3298),,split(A3298,""-""))"),"")</f>
        <v/>
      </c>
      <c r="K3298" s="13" t="str">
        <f>IFERROR(__xludf.DUMMYFUNCTION("if(isblank(B3298),,split(B3298,""-""))"),"")</f>
        <v/>
      </c>
    </row>
    <row r="3299">
      <c r="A3299" s="132"/>
      <c r="B3299" s="41"/>
      <c r="C3299" s="9"/>
      <c r="D3299" s="133"/>
      <c r="E3299" s="133"/>
      <c r="F3299" s="24"/>
      <c r="G3299" s="24"/>
      <c r="I3299" s="13" t="str">
        <f>IFERROR(__xludf.DUMMYFUNCTION("if(isblank(A3299),,split(A3299,""-""))"),"")</f>
        <v/>
      </c>
      <c r="K3299" s="13" t="str">
        <f>IFERROR(__xludf.DUMMYFUNCTION("if(isblank(B3299),,split(B3299,""-""))"),"")</f>
        <v/>
      </c>
    </row>
    <row r="3300">
      <c r="A3300" s="132"/>
      <c r="B3300" s="41"/>
      <c r="C3300" s="9"/>
      <c r="D3300" s="133"/>
      <c r="E3300" s="133"/>
      <c r="F3300" s="24"/>
      <c r="G3300" s="24"/>
      <c r="I3300" s="13" t="str">
        <f>IFERROR(__xludf.DUMMYFUNCTION("if(isblank(A3300),,split(A3300,""-""))"),"")</f>
        <v/>
      </c>
      <c r="K3300" s="13" t="str">
        <f>IFERROR(__xludf.DUMMYFUNCTION("if(isblank(B3300),,split(B3300,""-""))"),"")</f>
        <v/>
      </c>
    </row>
    <row r="3301">
      <c r="A3301" s="132"/>
      <c r="B3301" s="41"/>
      <c r="C3301" s="9"/>
      <c r="D3301" s="133"/>
      <c r="E3301" s="133"/>
      <c r="F3301" s="24"/>
      <c r="G3301" s="24"/>
      <c r="I3301" s="13" t="str">
        <f>IFERROR(__xludf.DUMMYFUNCTION("if(isblank(A3301),,split(A3301,""-""))"),"")</f>
        <v/>
      </c>
      <c r="K3301" s="13" t="str">
        <f>IFERROR(__xludf.DUMMYFUNCTION("if(isblank(B3301),,split(B3301,""-""))"),"")</f>
        <v/>
      </c>
    </row>
    <row r="3302">
      <c r="A3302" s="132"/>
      <c r="B3302" s="41"/>
      <c r="C3302" s="9"/>
      <c r="D3302" s="133"/>
      <c r="E3302" s="133"/>
      <c r="F3302" s="24"/>
      <c r="G3302" s="24"/>
      <c r="I3302" s="13" t="str">
        <f>IFERROR(__xludf.DUMMYFUNCTION("if(isblank(A3302),,split(A3302,""-""))"),"")</f>
        <v/>
      </c>
      <c r="K3302" s="13" t="str">
        <f>IFERROR(__xludf.DUMMYFUNCTION("if(isblank(B3302),,split(B3302,""-""))"),"")</f>
        <v/>
      </c>
    </row>
    <row r="3303">
      <c r="A3303" s="132"/>
      <c r="B3303" s="41"/>
      <c r="C3303" s="9"/>
      <c r="D3303" s="133"/>
      <c r="E3303" s="133"/>
      <c r="F3303" s="24"/>
      <c r="G3303" s="24"/>
      <c r="I3303" s="13" t="str">
        <f>IFERROR(__xludf.DUMMYFUNCTION("if(isblank(A3303),,split(A3303,""-""))"),"")</f>
        <v/>
      </c>
      <c r="K3303" s="13" t="str">
        <f>IFERROR(__xludf.DUMMYFUNCTION("if(isblank(B3303),,split(B3303,""-""))"),"")</f>
        <v/>
      </c>
    </row>
    <row r="3304">
      <c r="A3304" s="132"/>
      <c r="B3304" s="41"/>
      <c r="C3304" s="9"/>
      <c r="D3304" s="133"/>
      <c r="E3304" s="133"/>
      <c r="F3304" s="24"/>
      <c r="G3304" s="24"/>
      <c r="I3304" s="13" t="str">
        <f>IFERROR(__xludf.DUMMYFUNCTION("if(isblank(A3304),,split(A3304,""-""))"),"")</f>
        <v/>
      </c>
      <c r="K3304" s="13" t="str">
        <f>IFERROR(__xludf.DUMMYFUNCTION("if(isblank(B3304),,split(B3304,""-""))"),"")</f>
        <v/>
      </c>
    </row>
    <row r="3305">
      <c r="A3305" s="132"/>
      <c r="B3305" s="41"/>
      <c r="C3305" s="9"/>
      <c r="D3305" s="133"/>
      <c r="E3305" s="133"/>
      <c r="F3305" s="24"/>
      <c r="G3305" s="24"/>
      <c r="I3305" s="13" t="str">
        <f>IFERROR(__xludf.DUMMYFUNCTION("if(isblank(A3305),,split(A3305,""-""))"),"")</f>
        <v/>
      </c>
      <c r="K3305" s="13" t="str">
        <f>IFERROR(__xludf.DUMMYFUNCTION("if(isblank(B3305),,split(B3305,""-""))"),"")</f>
        <v/>
      </c>
    </row>
    <row r="3306">
      <c r="A3306" s="132"/>
      <c r="B3306" s="41"/>
      <c r="C3306" s="9"/>
      <c r="D3306" s="133"/>
      <c r="E3306" s="133"/>
      <c r="F3306" s="24"/>
      <c r="G3306" s="24"/>
      <c r="I3306" s="13" t="str">
        <f>IFERROR(__xludf.DUMMYFUNCTION("if(isblank(A3306),,split(A3306,""-""))"),"")</f>
        <v/>
      </c>
      <c r="K3306" s="13" t="str">
        <f>IFERROR(__xludf.DUMMYFUNCTION("if(isblank(B3306),,split(B3306,""-""))"),"")</f>
        <v/>
      </c>
    </row>
    <row r="3307">
      <c r="A3307" s="132"/>
      <c r="B3307" s="41"/>
      <c r="C3307" s="9"/>
      <c r="D3307" s="133"/>
      <c r="E3307" s="133"/>
      <c r="F3307" s="24"/>
      <c r="G3307" s="24"/>
      <c r="I3307" s="13" t="str">
        <f>IFERROR(__xludf.DUMMYFUNCTION("if(isblank(A3307),,split(A3307,""-""))"),"")</f>
        <v/>
      </c>
      <c r="K3307" s="13" t="str">
        <f>IFERROR(__xludf.DUMMYFUNCTION("if(isblank(B3307),,split(B3307,""-""))"),"")</f>
        <v/>
      </c>
    </row>
    <row r="3308">
      <c r="A3308" s="132"/>
      <c r="B3308" s="41"/>
      <c r="C3308" s="9"/>
      <c r="D3308" s="133"/>
      <c r="E3308" s="133"/>
      <c r="F3308" s="24"/>
      <c r="G3308" s="24"/>
      <c r="I3308" s="13" t="str">
        <f>IFERROR(__xludf.DUMMYFUNCTION("if(isblank(A3308),,split(A3308,""-""))"),"")</f>
        <v/>
      </c>
      <c r="K3308" s="13" t="str">
        <f>IFERROR(__xludf.DUMMYFUNCTION("if(isblank(B3308),,split(B3308,""-""))"),"")</f>
        <v/>
      </c>
    </row>
    <row r="3309">
      <c r="A3309" s="132"/>
      <c r="B3309" s="41"/>
      <c r="C3309" s="9"/>
      <c r="D3309" s="133"/>
      <c r="E3309" s="133"/>
      <c r="F3309" s="24"/>
      <c r="G3309" s="24"/>
      <c r="I3309" s="13" t="str">
        <f>IFERROR(__xludf.DUMMYFUNCTION("if(isblank(A3309),,split(A3309,""-""))"),"")</f>
        <v/>
      </c>
      <c r="K3309" s="13" t="str">
        <f>IFERROR(__xludf.DUMMYFUNCTION("if(isblank(B3309),,split(B3309,""-""))"),"")</f>
        <v/>
      </c>
    </row>
    <row r="3310">
      <c r="A3310" s="132"/>
      <c r="B3310" s="41"/>
      <c r="C3310" s="9"/>
      <c r="D3310" s="133"/>
      <c r="E3310" s="133"/>
      <c r="F3310" s="24"/>
      <c r="G3310" s="24"/>
      <c r="I3310" s="13" t="str">
        <f>IFERROR(__xludf.DUMMYFUNCTION("if(isblank(A3310),,split(A3310,""-""))"),"")</f>
        <v/>
      </c>
      <c r="K3310" s="13" t="str">
        <f>IFERROR(__xludf.DUMMYFUNCTION("if(isblank(B3310),,split(B3310,""-""))"),"")</f>
        <v/>
      </c>
    </row>
    <row r="3311">
      <c r="A3311" s="132"/>
      <c r="B3311" s="41"/>
      <c r="C3311" s="9"/>
      <c r="D3311" s="133"/>
      <c r="E3311" s="133"/>
      <c r="F3311" s="24"/>
      <c r="G3311" s="24"/>
      <c r="I3311" s="13" t="str">
        <f>IFERROR(__xludf.DUMMYFUNCTION("if(isblank(A3311),,split(A3311,""-""))"),"")</f>
        <v/>
      </c>
      <c r="K3311" s="13" t="str">
        <f>IFERROR(__xludf.DUMMYFUNCTION("if(isblank(B3311),,split(B3311,""-""))"),"")</f>
        <v/>
      </c>
    </row>
    <row r="3312">
      <c r="A3312" s="132"/>
      <c r="B3312" s="41"/>
      <c r="C3312" s="9"/>
      <c r="D3312" s="133"/>
      <c r="E3312" s="133"/>
      <c r="F3312" s="24"/>
      <c r="G3312" s="24"/>
      <c r="I3312" s="13" t="str">
        <f>IFERROR(__xludf.DUMMYFUNCTION("if(isblank(A3312),,split(A3312,""-""))"),"")</f>
        <v/>
      </c>
      <c r="K3312" s="13" t="str">
        <f>IFERROR(__xludf.DUMMYFUNCTION("if(isblank(B3312),,split(B3312,""-""))"),"")</f>
        <v/>
      </c>
    </row>
    <row r="3313">
      <c r="A3313" s="132"/>
      <c r="B3313" s="41"/>
      <c r="C3313" s="9"/>
      <c r="D3313" s="133"/>
      <c r="E3313" s="133"/>
      <c r="F3313" s="24"/>
      <c r="G3313" s="24"/>
      <c r="I3313" s="13" t="str">
        <f>IFERROR(__xludf.DUMMYFUNCTION("if(isblank(A3313),,split(A3313,""-""))"),"")</f>
        <v/>
      </c>
      <c r="K3313" s="13" t="str">
        <f>IFERROR(__xludf.DUMMYFUNCTION("if(isblank(B3313),,split(B3313,""-""))"),"")</f>
        <v/>
      </c>
    </row>
    <row r="3314">
      <c r="A3314" s="132"/>
      <c r="B3314" s="41"/>
      <c r="C3314" s="9"/>
      <c r="D3314" s="133"/>
      <c r="E3314" s="133"/>
      <c r="F3314" s="24"/>
      <c r="G3314" s="24"/>
      <c r="I3314" s="13" t="str">
        <f>IFERROR(__xludf.DUMMYFUNCTION("if(isblank(A3314),,split(A3314,""-""))"),"")</f>
        <v/>
      </c>
      <c r="K3314" s="13" t="str">
        <f>IFERROR(__xludf.DUMMYFUNCTION("if(isblank(B3314),,split(B3314,""-""))"),"")</f>
        <v/>
      </c>
    </row>
    <row r="3315">
      <c r="A3315" s="132"/>
      <c r="B3315" s="41"/>
      <c r="C3315" s="9"/>
      <c r="D3315" s="133"/>
      <c r="E3315" s="133"/>
      <c r="F3315" s="24"/>
      <c r="G3315" s="24"/>
      <c r="I3315" s="13" t="str">
        <f>IFERROR(__xludf.DUMMYFUNCTION("if(isblank(A3315),,split(A3315,""-""))"),"")</f>
        <v/>
      </c>
      <c r="K3315" s="13" t="str">
        <f>IFERROR(__xludf.DUMMYFUNCTION("if(isblank(B3315),,split(B3315,""-""))"),"")</f>
        <v/>
      </c>
    </row>
    <row r="3316">
      <c r="A3316" s="132"/>
      <c r="B3316" s="41"/>
      <c r="C3316" s="9"/>
      <c r="D3316" s="133"/>
      <c r="E3316" s="133"/>
      <c r="F3316" s="24"/>
      <c r="G3316" s="24"/>
      <c r="I3316" s="13" t="str">
        <f>IFERROR(__xludf.DUMMYFUNCTION("if(isblank(A3316),,split(A3316,""-""))"),"")</f>
        <v/>
      </c>
      <c r="K3316" s="13" t="str">
        <f>IFERROR(__xludf.DUMMYFUNCTION("if(isblank(B3316),,split(B3316,""-""))"),"")</f>
        <v/>
      </c>
    </row>
    <row r="3317">
      <c r="A3317" s="132"/>
      <c r="B3317" s="41"/>
      <c r="C3317" s="9"/>
      <c r="D3317" s="133"/>
      <c r="E3317" s="133"/>
      <c r="F3317" s="24"/>
      <c r="G3317" s="24"/>
      <c r="I3317" s="13" t="str">
        <f>IFERROR(__xludf.DUMMYFUNCTION("if(isblank(A3317),,split(A3317,""-""))"),"")</f>
        <v/>
      </c>
      <c r="K3317" s="13" t="str">
        <f>IFERROR(__xludf.DUMMYFUNCTION("if(isblank(B3317),,split(B3317,""-""))"),"")</f>
        <v/>
      </c>
    </row>
    <row r="3318">
      <c r="A3318" s="132"/>
      <c r="B3318" s="41"/>
      <c r="C3318" s="9"/>
      <c r="D3318" s="133"/>
      <c r="E3318" s="133"/>
      <c r="F3318" s="24"/>
      <c r="G3318" s="24"/>
      <c r="I3318" s="13" t="str">
        <f>IFERROR(__xludf.DUMMYFUNCTION("if(isblank(A3318),,split(A3318,""-""))"),"")</f>
        <v/>
      </c>
      <c r="K3318" s="13" t="str">
        <f>IFERROR(__xludf.DUMMYFUNCTION("if(isblank(B3318),,split(B3318,""-""))"),"")</f>
        <v/>
      </c>
    </row>
    <row r="3319">
      <c r="A3319" s="132"/>
      <c r="B3319" s="41"/>
      <c r="C3319" s="9"/>
      <c r="D3319" s="133"/>
      <c r="E3319" s="133"/>
      <c r="F3319" s="24"/>
      <c r="G3319" s="24"/>
      <c r="I3319" s="13" t="str">
        <f>IFERROR(__xludf.DUMMYFUNCTION("if(isblank(A3319),,split(A3319,""-""))"),"")</f>
        <v/>
      </c>
      <c r="K3319" s="13" t="str">
        <f>IFERROR(__xludf.DUMMYFUNCTION("if(isblank(B3319),,split(B3319,""-""))"),"")</f>
        <v/>
      </c>
    </row>
    <row r="3320">
      <c r="A3320" s="132"/>
      <c r="B3320" s="41"/>
      <c r="C3320" s="9"/>
      <c r="D3320" s="133"/>
      <c r="E3320" s="133"/>
      <c r="F3320" s="24"/>
      <c r="G3320" s="24"/>
      <c r="I3320" s="13" t="str">
        <f>IFERROR(__xludf.DUMMYFUNCTION("if(isblank(A3320),,split(A3320,""-""))"),"")</f>
        <v/>
      </c>
      <c r="K3320" s="13" t="str">
        <f>IFERROR(__xludf.DUMMYFUNCTION("if(isblank(B3320),,split(B3320,""-""))"),"")</f>
        <v/>
      </c>
    </row>
    <row r="3321">
      <c r="A3321" s="132"/>
      <c r="B3321" s="41"/>
      <c r="C3321" s="9"/>
      <c r="D3321" s="133"/>
      <c r="E3321" s="133"/>
      <c r="F3321" s="24"/>
      <c r="G3321" s="24"/>
      <c r="I3321" s="13" t="str">
        <f>IFERROR(__xludf.DUMMYFUNCTION("if(isblank(A3321),,split(A3321,""-""))"),"")</f>
        <v/>
      </c>
      <c r="K3321" s="13" t="str">
        <f>IFERROR(__xludf.DUMMYFUNCTION("if(isblank(B3321),,split(B3321,""-""))"),"")</f>
        <v/>
      </c>
    </row>
    <row r="3322">
      <c r="A3322" s="132"/>
      <c r="B3322" s="41"/>
      <c r="C3322" s="9"/>
      <c r="D3322" s="133"/>
      <c r="E3322" s="133"/>
      <c r="F3322" s="24"/>
      <c r="G3322" s="24"/>
      <c r="I3322" s="13" t="str">
        <f>IFERROR(__xludf.DUMMYFUNCTION("if(isblank(A3322),,split(A3322,""-""))"),"")</f>
        <v/>
      </c>
      <c r="K3322" s="13" t="str">
        <f>IFERROR(__xludf.DUMMYFUNCTION("if(isblank(B3322),,split(B3322,""-""))"),"")</f>
        <v/>
      </c>
    </row>
    <row r="3323">
      <c r="A3323" s="132"/>
      <c r="B3323" s="41"/>
      <c r="C3323" s="9"/>
      <c r="D3323" s="133"/>
      <c r="E3323" s="133"/>
      <c r="F3323" s="24"/>
      <c r="G3323" s="24"/>
      <c r="I3323" s="13" t="str">
        <f>IFERROR(__xludf.DUMMYFUNCTION("if(isblank(A3323),,split(A3323,""-""))"),"")</f>
        <v/>
      </c>
      <c r="K3323" s="13" t="str">
        <f>IFERROR(__xludf.DUMMYFUNCTION("if(isblank(B3323),,split(B3323,""-""))"),"")</f>
        <v/>
      </c>
    </row>
    <row r="3324">
      <c r="A3324" s="132"/>
      <c r="B3324" s="41"/>
      <c r="C3324" s="9"/>
      <c r="D3324" s="133"/>
      <c r="E3324" s="133"/>
      <c r="F3324" s="24"/>
      <c r="G3324" s="24"/>
      <c r="I3324" s="13" t="str">
        <f>IFERROR(__xludf.DUMMYFUNCTION("if(isblank(A3324),,split(A3324,""-""))"),"")</f>
        <v/>
      </c>
      <c r="K3324" s="13" t="str">
        <f>IFERROR(__xludf.DUMMYFUNCTION("if(isblank(B3324),,split(B3324,""-""))"),"")</f>
        <v/>
      </c>
    </row>
    <row r="3325">
      <c r="A3325" s="132"/>
      <c r="B3325" s="41"/>
      <c r="C3325" s="9"/>
      <c r="D3325" s="133"/>
      <c r="E3325" s="133"/>
      <c r="F3325" s="24"/>
      <c r="G3325" s="24"/>
      <c r="I3325" s="13" t="str">
        <f>IFERROR(__xludf.DUMMYFUNCTION("if(isblank(A3325),,split(A3325,""-""))"),"")</f>
        <v/>
      </c>
      <c r="K3325" s="13" t="str">
        <f>IFERROR(__xludf.DUMMYFUNCTION("if(isblank(B3325),,split(B3325,""-""))"),"")</f>
        <v/>
      </c>
    </row>
    <row r="3326">
      <c r="A3326" s="132"/>
      <c r="B3326" s="41"/>
      <c r="C3326" s="9"/>
      <c r="D3326" s="133"/>
      <c r="E3326" s="133"/>
      <c r="F3326" s="24"/>
      <c r="G3326" s="24"/>
      <c r="I3326" s="13" t="str">
        <f>IFERROR(__xludf.DUMMYFUNCTION("if(isblank(A3326),,split(A3326,""-""))"),"")</f>
        <v/>
      </c>
      <c r="K3326" s="13" t="str">
        <f>IFERROR(__xludf.DUMMYFUNCTION("if(isblank(B3326),,split(B3326,""-""))"),"")</f>
        <v/>
      </c>
    </row>
    <row r="3327">
      <c r="A3327" s="132"/>
      <c r="B3327" s="41"/>
      <c r="C3327" s="9"/>
      <c r="D3327" s="133"/>
      <c r="E3327" s="133"/>
      <c r="F3327" s="24"/>
      <c r="G3327" s="24"/>
      <c r="I3327" s="13" t="str">
        <f>IFERROR(__xludf.DUMMYFUNCTION("if(isblank(A3327),,split(A3327,""-""))"),"")</f>
        <v/>
      </c>
      <c r="K3327" s="13" t="str">
        <f>IFERROR(__xludf.DUMMYFUNCTION("if(isblank(B3327),,split(B3327,""-""))"),"")</f>
        <v/>
      </c>
    </row>
    <row r="3328">
      <c r="A3328" s="132"/>
      <c r="B3328" s="41"/>
      <c r="C3328" s="9"/>
      <c r="D3328" s="133"/>
      <c r="E3328" s="133"/>
      <c r="F3328" s="24"/>
      <c r="G3328" s="24"/>
      <c r="I3328" s="13" t="str">
        <f>IFERROR(__xludf.DUMMYFUNCTION("if(isblank(A3328),,split(A3328,""-""))"),"")</f>
        <v/>
      </c>
      <c r="K3328" s="13" t="str">
        <f>IFERROR(__xludf.DUMMYFUNCTION("if(isblank(B3328),,split(B3328,""-""))"),"")</f>
        <v/>
      </c>
    </row>
    <row r="3329">
      <c r="A3329" s="132"/>
      <c r="B3329" s="41"/>
      <c r="C3329" s="9"/>
      <c r="D3329" s="133"/>
      <c r="E3329" s="133"/>
      <c r="F3329" s="24"/>
      <c r="G3329" s="24"/>
      <c r="I3329" s="13" t="str">
        <f>IFERROR(__xludf.DUMMYFUNCTION("if(isblank(A3329),,split(A3329,""-""))"),"")</f>
        <v/>
      </c>
      <c r="K3329" s="13" t="str">
        <f>IFERROR(__xludf.DUMMYFUNCTION("if(isblank(B3329),,split(B3329,""-""))"),"")</f>
        <v/>
      </c>
    </row>
    <row r="3330">
      <c r="A3330" s="132"/>
      <c r="B3330" s="41"/>
      <c r="C3330" s="9"/>
      <c r="D3330" s="133"/>
      <c r="E3330" s="133"/>
      <c r="F3330" s="24"/>
      <c r="G3330" s="24"/>
      <c r="I3330" s="13" t="str">
        <f>IFERROR(__xludf.DUMMYFUNCTION("if(isblank(A3330),,split(A3330,""-""))"),"")</f>
        <v/>
      </c>
      <c r="K3330" s="13" t="str">
        <f>IFERROR(__xludf.DUMMYFUNCTION("if(isblank(B3330),,split(B3330,""-""))"),"")</f>
        <v/>
      </c>
    </row>
    <row r="3331">
      <c r="A3331" s="132"/>
      <c r="B3331" s="41"/>
      <c r="C3331" s="9"/>
      <c r="D3331" s="133"/>
      <c r="E3331" s="133"/>
      <c r="F3331" s="24"/>
      <c r="G3331" s="24"/>
      <c r="I3331" s="13" t="str">
        <f>IFERROR(__xludf.DUMMYFUNCTION("if(isblank(A3331),,split(A3331,""-""))"),"")</f>
        <v/>
      </c>
      <c r="K3331" s="13" t="str">
        <f>IFERROR(__xludf.DUMMYFUNCTION("if(isblank(B3331),,split(B3331,""-""))"),"")</f>
        <v/>
      </c>
    </row>
    <row r="3332">
      <c r="A3332" s="132"/>
      <c r="B3332" s="41"/>
      <c r="C3332" s="9"/>
      <c r="D3332" s="133"/>
      <c r="E3332" s="133"/>
      <c r="F3332" s="24"/>
      <c r="G3332" s="24"/>
      <c r="I3332" s="13" t="str">
        <f>IFERROR(__xludf.DUMMYFUNCTION("if(isblank(A3332),,split(A3332,""-""))"),"")</f>
        <v/>
      </c>
      <c r="K3332" s="13" t="str">
        <f>IFERROR(__xludf.DUMMYFUNCTION("if(isblank(B3332),,split(B3332,""-""))"),"")</f>
        <v/>
      </c>
    </row>
    <row r="3333">
      <c r="A3333" s="132"/>
      <c r="B3333" s="41"/>
      <c r="C3333" s="9"/>
      <c r="D3333" s="133"/>
      <c r="E3333" s="133"/>
      <c r="F3333" s="24"/>
      <c r="G3333" s="24"/>
      <c r="I3333" s="13" t="str">
        <f>IFERROR(__xludf.DUMMYFUNCTION("if(isblank(A3333),,split(A3333,""-""))"),"")</f>
        <v/>
      </c>
      <c r="K3333" s="13" t="str">
        <f>IFERROR(__xludf.DUMMYFUNCTION("if(isblank(B3333),,split(B3333,""-""))"),"")</f>
        <v/>
      </c>
    </row>
    <row r="3334">
      <c r="A3334" s="132"/>
      <c r="B3334" s="41"/>
      <c r="C3334" s="9"/>
      <c r="D3334" s="133"/>
      <c r="E3334" s="133"/>
      <c r="F3334" s="24"/>
      <c r="G3334" s="24"/>
      <c r="I3334" s="13" t="str">
        <f>IFERROR(__xludf.DUMMYFUNCTION("if(isblank(A3334),,split(A3334,""-""))"),"")</f>
        <v/>
      </c>
      <c r="K3334" s="13" t="str">
        <f>IFERROR(__xludf.DUMMYFUNCTION("if(isblank(B3334),,split(B3334,""-""))"),"")</f>
        <v/>
      </c>
    </row>
    <row r="3335">
      <c r="A3335" s="132"/>
      <c r="B3335" s="41"/>
      <c r="C3335" s="9"/>
      <c r="D3335" s="133"/>
      <c r="E3335" s="133"/>
      <c r="F3335" s="24"/>
      <c r="G3335" s="24"/>
      <c r="I3335" s="13" t="str">
        <f>IFERROR(__xludf.DUMMYFUNCTION("if(isblank(A3335),,split(A3335,""-""))"),"")</f>
        <v/>
      </c>
      <c r="K3335" s="13" t="str">
        <f>IFERROR(__xludf.DUMMYFUNCTION("if(isblank(B3335),,split(B3335,""-""))"),"")</f>
        <v/>
      </c>
    </row>
    <row r="3336">
      <c r="A3336" s="132"/>
      <c r="B3336" s="41"/>
      <c r="C3336" s="9"/>
      <c r="D3336" s="133"/>
      <c r="E3336" s="133"/>
      <c r="F3336" s="24"/>
      <c r="G3336" s="24"/>
      <c r="I3336" s="13" t="str">
        <f>IFERROR(__xludf.DUMMYFUNCTION("if(isblank(A3336),,split(A3336,""-""))"),"")</f>
        <v/>
      </c>
      <c r="K3336" s="13" t="str">
        <f>IFERROR(__xludf.DUMMYFUNCTION("if(isblank(B3336),,split(B3336,""-""))"),"")</f>
        <v/>
      </c>
    </row>
    <row r="3337">
      <c r="A3337" s="132"/>
      <c r="B3337" s="41"/>
      <c r="C3337" s="9"/>
      <c r="D3337" s="133"/>
      <c r="E3337" s="133"/>
      <c r="F3337" s="24"/>
      <c r="G3337" s="24"/>
      <c r="I3337" s="13" t="str">
        <f>IFERROR(__xludf.DUMMYFUNCTION("if(isblank(A3337),,split(A3337,""-""))"),"")</f>
        <v/>
      </c>
      <c r="K3337" s="13" t="str">
        <f>IFERROR(__xludf.DUMMYFUNCTION("if(isblank(B3337),,split(B3337,""-""))"),"")</f>
        <v/>
      </c>
    </row>
    <row r="3338">
      <c r="A3338" s="132"/>
      <c r="B3338" s="41"/>
      <c r="C3338" s="9"/>
      <c r="D3338" s="133"/>
      <c r="E3338" s="133"/>
      <c r="F3338" s="24"/>
      <c r="G3338" s="24"/>
      <c r="I3338" s="13" t="str">
        <f>IFERROR(__xludf.DUMMYFUNCTION("if(isblank(A3338),,split(A3338,""-""))"),"")</f>
        <v/>
      </c>
      <c r="K3338" s="13" t="str">
        <f>IFERROR(__xludf.DUMMYFUNCTION("if(isblank(B3338),,split(B3338,""-""))"),"")</f>
        <v/>
      </c>
    </row>
    <row r="3339">
      <c r="A3339" s="132"/>
      <c r="B3339" s="41"/>
      <c r="C3339" s="9"/>
      <c r="D3339" s="133"/>
      <c r="E3339" s="133"/>
      <c r="F3339" s="24"/>
      <c r="G3339" s="24"/>
      <c r="I3339" s="13" t="str">
        <f>IFERROR(__xludf.DUMMYFUNCTION("if(isblank(A3339),,split(A3339,""-""))"),"")</f>
        <v/>
      </c>
      <c r="K3339" s="13" t="str">
        <f>IFERROR(__xludf.DUMMYFUNCTION("if(isblank(B3339),,split(B3339,""-""))"),"")</f>
        <v/>
      </c>
    </row>
    <row r="3340">
      <c r="A3340" s="132"/>
      <c r="B3340" s="41"/>
      <c r="C3340" s="9"/>
      <c r="D3340" s="133"/>
      <c r="E3340" s="133"/>
      <c r="F3340" s="24"/>
      <c r="G3340" s="24"/>
      <c r="I3340" s="13" t="str">
        <f>IFERROR(__xludf.DUMMYFUNCTION("if(isblank(A3340),,split(A3340,""-""))"),"")</f>
        <v/>
      </c>
      <c r="K3340" s="13" t="str">
        <f>IFERROR(__xludf.DUMMYFUNCTION("if(isblank(B3340),,split(B3340,""-""))"),"")</f>
        <v/>
      </c>
    </row>
    <row r="3341">
      <c r="A3341" s="132"/>
      <c r="B3341" s="41"/>
      <c r="C3341" s="9"/>
      <c r="D3341" s="133"/>
      <c r="E3341" s="133"/>
      <c r="F3341" s="24"/>
      <c r="G3341" s="24"/>
      <c r="I3341" s="13" t="str">
        <f>IFERROR(__xludf.DUMMYFUNCTION("if(isblank(A3341),,split(A3341,""-""))"),"")</f>
        <v/>
      </c>
      <c r="K3341" s="13" t="str">
        <f>IFERROR(__xludf.DUMMYFUNCTION("if(isblank(B3341),,split(B3341,""-""))"),"")</f>
        <v/>
      </c>
    </row>
    <row r="3342">
      <c r="A3342" s="132"/>
      <c r="B3342" s="41"/>
      <c r="C3342" s="9"/>
      <c r="D3342" s="133"/>
      <c r="E3342" s="133"/>
      <c r="F3342" s="24"/>
      <c r="G3342" s="24"/>
      <c r="I3342" s="13" t="str">
        <f>IFERROR(__xludf.DUMMYFUNCTION("if(isblank(A3342),,split(A3342,""-""))"),"")</f>
        <v/>
      </c>
      <c r="K3342" s="13" t="str">
        <f>IFERROR(__xludf.DUMMYFUNCTION("if(isblank(B3342),,split(B3342,""-""))"),"")</f>
        <v/>
      </c>
    </row>
    <row r="3343">
      <c r="A3343" s="132"/>
      <c r="B3343" s="41"/>
      <c r="C3343" s="9"/>
      <c r="D3343" s="133"/>
      <c r="E3343" s="133"/>
      <c r="F3343" s="24"/>
      <c r="G3343" s="24"/>
      <c r="I3343" s="13" t="str">
        <f>IFERROR(__xludf.DUMMYFUNCTION("if(isblank(A3343),,split(A3343,""-""))"),"")</f>
        <v/>
      </c>
      <c r="K3343" s="13" t="str">
        <f>IFERROR(__xludf.DUMMYFUNCTION("if(isblank(B3343),,split(B3343,""-""))"),"")</f>
        <v/>
      </c>
    </row>
    <row r="3344">
      <c r="A3344" s="132"/>
      <c r="B3344" s="41"/>
      <c r="C3344" s="9"/>
      <c r="D3344" s="133"/>
      <c r="E3344" s="133"/>
      <c r="F3344" s="24"/>
      <c r="G3344" s="24"/>
      <c r="I3344" s="13" t="str">
        <f>IFERROR(__xludf.DUMMYFUNCTION("if(isblank(A3344),,split(A3344,""-""))"),"")</f>
        <v/>
      </c>
      <c r="K3344" s="13" t="str">
        <f>IFERROR(__xludf.DUMMYFUNCTION("if(isblank(B3344),,split(B3344,""-""))"),"")</f>
        <v/>
      </c>
    </row>
    <row r="3345">
      <c r="A3345" s="132"/>
      <c r="B3345" s="41"/>
      <c r="C3345" s="9"/>
      <c r="D3345" s="133"/>
      <c r="E3345" s="133"/>
      <c r="F3345" s="24"/>
      <c r="G3345" s="24"/>
      <c r="I3345" s="13" t="str">
        <f>IFERROR(__xludf.DUMMYFUNCTION("if(isblank(A3345),,split(A3345,""-""))"),"")</f>
        <v/>
      </c>
      <c r="K3345" s="13" t="str">
        <f>IFERROR(__xludf.DUMMYFUNCTION("if(isblank(B3345),,split(B3345,""-""))"),"")</f>
        <v/>
      </c>
    </row>
    <row r="3346">
      <c r="A3346" s="132"/>
      <c r="B3346" s="41"/>
      <c r="C3346" s="9"/>
      <c r="D3346" s="133"/>
      <c r="E3346" s="133"/>
      <c r="F3346" s="24"/>
      <c r="G3346" s="24"/>
      <c r="I3346" s="13" t="str">
        <f>IFERROR(__xludf.DUMMYFUNCTION("if(isblank(A3346),,split(A3346,""-""))"),"")</f>
        <v/>
      </c>
      <c r="K3346" s="13" t="str">
        <f>IFERROR(__xludf.DUMMYFUNCTION("if(isblank(B3346),,split(B3346,""-""))"),"")</f>
        <v/>
      </c>
    </row>
    <row r="3347">
      <c r="A3347" s="132"/>
      <c r="B3347" s="41"/>
      <c r="C3347" s="9"/>
      <c r="D3347" s="133"/>
      <c r="E3347" s="133"/>
      <c r="F3347" s="24"/>
      <c r="G3347" s="24"/>
      <c r="I3347" s="13" t="str">
        <f>IFERROR(__xludf.DUMMYFUNCTION("if(isblank(A3347),,split(A3347,""-""))"),"")</f>
        <v/>
      </c>
      <c r="K3347" s="13" t="str">
        <f>IFERROR(__xludf.DUMMYFUNCTION("if(isblank(B3347),,split(B3347,""-""))"),"")</f>
        <v/>
      </c>
    </row>
    <row r="3348">
      <c r="A3348" s="132"/>
      <c r="B3348" s="41"/>
      <c r="C3348" s="9"/>
      <c r="D3348" s="133"/>
      <c r="E3348" s="133"/>
      <c r="F3348" s="24"/>
      <c r="G3348" s="24"/>
      <c r="I3348" s="13" t="str">
        <f>IFERROR(__xludf.DUMMYFUNCTION("if(isblank(A3348),,split(A3348,""-""))"),"")</f>
        <v/>
      </c>
      <c r="K3348" s="13" t="str">
        <f>IFERROR(__xludf.DUMMYFUNCTION("if(isblank(B3348),,split(B3348,""-""))"),"")</f>
        <v/>
      </c>
    </row>
    <row r="3349">
      <c r="A3349" s="132"/>
      <c r="B3349" s="41"/>
      <c r="C3349" s="9"/>
      <c r="D3349" s="133"/>
      <c r="E3349" s="133"/>
      <c r="F3349" s="24"/>
      <c r="G3349" s="24"/>
      <c r="I3349" s="13" t="str">
        <f>IFERROR(__xludf.DUMMYFUNCTION("if(isblank(A3349),,split(A3349,""-""))"),"")</f>
        <v/>
      </c>
      <c r="K3349" s="13" t="str">
        <f>IFERROR(__xludf.DUMMYFUNCTION("if(isblank(B3349),,split(B3349,""-""))"),"")</f>
        <v/>
      </c>
    </row>
    <row r="3350">
      <c r="A3350" s="132"/>
      <c r="B3350" s="41"/>
      <c r="C3350" s="9"/>
      <c r="D3350" s="133"/>
      <c r="E3350" s="133"/>
      <c r="F3350" s="24"/>
      <c r="G3350" s="24"/>
      <c r="I3350" s="13" t="str">
        <f>IFERROR(__xludf.DUMMYFUNCTION("if(isblank(A3350),,split(A3350,""-""))"),"")</f>
        <v/>
      </c>
      <c r="K3350" s="13" t="str">
        <f>IFERROR(__xludf.DUMMYFUNCTION("if(isblank(B3350),,split(B3350,""-""))"),"")</f>
        <v/>
      </c>
    </row>
    <row r="3351">
      <c r="A3351" s="132"/>
      <c r="B3351" s="41"/>
      <c r="C3351" s="9"/>
      <c r="D3351" s="133"/>
      <c r="E3351" s="133"/>
      <c r="F3351" s="24"/>
      <c r="G3351" s="24"/>
      <c r="I3351" s="13" t="str">
        <f>IFERROR(__xludf.DUMMYFUNCTION("if(isblank(A3351),,split(A3351,""-""))"),"")</f>
        <v/>
      </c>
      <c r="K3351" s="13" t="str">
        <f>IFERROR(__xludf.DUMMYFUNCTION("if(isblank(B3351),,split(B3351,""-""))"),"")</f>
        <v/>
      </c>
    </row>
    <row r="3352">
      <c r="A3352" s="132"/>
      <c r="B3352" s="41"/>
      <c r="C3352" s="9"/>
      <c r="D3352" s="133"/>
      <c r="E3352" s="133"/>
      <c r="F3352" s="24"/>
      <c r="G3352" s="24"/>
      <c r="I3352" s="13" t="str">
        <f>IFERROR(__xludf.DUMMYFUNCTION("if(isblank(A3352),,split(A3352,""-""))"),"")</f>
        <v/>
      </c>
      <c r="K3352" s="13" t="str">
        <f>IFERROR(__xludf.DUMMYFUNCTION("if(isblank(B3352),,split(B3352,""-""))"),"")</f>
        <v/>
      </c>
    </row>
    <row r="3353">
      <c r="A3353" s="132"/>
      <c r="B3353" s="41"/>
      <c r="C3353" s="9"/>
      <c r="D3353" s="133"/>
      <c r="E3353" s="133"/>
      <c r="F3353" s="24"/>
      <c r="G3353" s="24"/>
      <c r="I3353" s="13" t="str">
        <f>IFERROR(__xludf.DUMMYFUNCTION("if(isblank(A3353),,split(A3353,""-""))"),"")</f>
        <v/>
      </c>
      <c r="K3353" s="13" t="str">
        <f>IFERROR(__xludf.DUMMYFUNCTION("if(isblank(B3353),,split(B3353,""-""))"),"")</f>
        <v/>
      </c>
    </row>
    <row r="3354">
      <c r="A3354" s="132"/>
      <c r="B3354" s="41"/>
      <c r="C3354" s="9"/>
      <c r="D3354" s="133"/>
      <c r="E3354" s="133"/>
      <c r="F3354" s="24"/>
      <c r="G3354" s="24"/>
      <c r="I3354" s="13" t="str">
        <f>IFERROR(__xludf.DUMMYFUNCTION("if(isblank(A3354),,split(A3354,""-""))"),"")</f>
        <v/>
      </c>
      <c r="K3354" s="13" t="str">
        <f>IFERROR(__xludf.DUMMYFUNCTION("if(isblank(B3354),,split(B3354,""-""))"),"")</f>
        <v/>
      </c>
    </row>
    <row r="3355">
      <c r="A3355" s="132"/>
      <c r="B3355" s="41"/>
      <c r="C3355" s="9"/>
      <c r="D3355" s="133"/>
      <c r="E3355" s="133"/>
      <c r="F3355" s="24"/>
      <c r="G3355" s="24"/>
      <c r="I3355" s="13" t="str">
        <f>IFERROR(__xludf.DUMMYFUNCTION("if(isblank(A3355),,split(A3355,""-""))"),"")</f>
        <v/>
      </c>
      <c r="K3355" s="13" t="str">
        <f>IFERROR(__xludf.DUMMYFUNCTION("if(isblank(B3355),,split(B3355,""-""))"),"")</f>
        <v/>
      </c>
    </row>
    <row r="3356">
      <c r="A3356" s="132"/>
      <c r="B3356" s="41"/>
      <c r="C3356" s="9"/>
      <c r="D3356" s="133"/>
      <c r="E3356" s="133"/>
      <c r="F3356" s="24"/>
      <c r="G3356" s="24"/>
      <c r="I3356" s="13" t="str">
        <f>IFERROR(__xludf.DUMMYFUNCTION("if(isblank(A3356),,split(A3356,""-""))"),"")</f>
        <v/>
      </c>
      <c r="K3356" s="13" t="str">
        <f>IFERROR(__xludf.DUMMYFUNCTION("if(isblank(B3356),,split(B3356,""-""))"),"")</f>
        <v/>
      </c>
    </row>
    <row r="3357">
      <c r="A3357" s="132"/>
      <c r="B3357" s="41"/>
      <c r="C3357" s="9"/>
      <c r="D3357" s="133"/>
      <c r="E3357" s="133"/>
      <c r="F3357" s="24"/>
      <c r="G3357" s="24"/>
      <c r="I3357" s="13" t="str">
        <f>IFERROR(__xludf.DUMMYFUNCTION("if(isblank(A3357),,split(A3357,""-""))"),"")</f>
        <v/>
      </c>
      <c r="K3357" s="13" t="str">
        <f>IFERROR(__xludf.DUMMYFUNCTION("if(isblank(B3357),,split(B3357,""-""))"),"")</f>
        <v/>
      </c>
    </row>
    <row r="3358">
      <c r="A3358" s="132"/>
      <c r="B3358" s="41"/>
      <c r="C3358" s="9"/>
      <c r="D3358" s="133"/>
      <c r="E3358" s="133"/>
      <c r="F3358" s="24"/>
      <c r="G3358" s="24"/>
      <c r="I3358" s="13" t="str">
        <f>IFERROR(__xludf.DUMMYFUNCTION("if(isblank(A3358),,split(A3358,""-""))"),"")</f>
        <v/>
      </c>
      <c r="K3358" s="13" t="str">
        <f>IFERROR(__xludf.DUMMYFUNCTION("if(isblank(B3358),,split(B3358,""-""))"),"")</f>
        <v/>
      </c>
    </row>
    <row r="3359">
      <c r="A3359" s="132"/>
      <c r="B3359" s="41"/>
      <c r="C3359" s="9"/>
      <c r="D3359" s="133"/>
      <c r="E3359" s="133"/>
      <c r="F3359" s="24"/>
      <c r="G3359" s="24"/>
      <c r="I3359" s="13" t="str">
        <f>IFERROR(__xludf.DUMMYFUNCTION("if(isblank(A3359),,split(A3359,""-""))"),"")</f>
        <v/>
      </c>
      <c r="K3359" s="13" t="str">
        <f>IFERROR(__xludf.DUMMYFUNCTION("if(isblank(B3359),,split(B3359,""-""))"),"")</f>
        <v/>
      </c>
    </row>
    <row r="3360">
      <c r="A3360" s="132"/>
      <c r="B3360" s="41"/>
      <c r="C3360" s="9"/>
      <c r="D3360" s="133"/>
      <c r="E3360" s="133"/>
      <c r="F3360" s="24"/>
      <c r="G3360" s="24"/>
      <c r="I3360" s="13" t="str">
        <f>IFERROR(__xludf.DUMMYFUNCTION("if(isblank(A3360),,split(A3360,""-""))"),"")</f>
        <v/>
      </c>
      <c r="K3360" s="13" t="str">
        <f>IFERROR(__xludf.DUMMYFUNCTION("if(isblank(B3360),,split(B3360,""-""))"),"")</f>
        <v/>
      </c>
    </row>
    <row r="3361">
      <c r="A3361" s="132"/>
      <c r="B3361" s="41"/>
      <c r="C3361" s="9"/>
      <c r="D3361" s="133"/>
      <c r="E3361" s="133"/>
      <c r="F3361" s="24"/>
      <c r="G3361" s="24"/>
      <c r="I3361" s="13" t="str">
        <f>IFERROR(__xludf.DUMMYFUNCTION("if(isblank(A3361),,split(A3361,""-""))"),"")</f>
        <v/>
      </c>
      <c r="K3361" s="13" t="str">
        <f>IFERROR(__xludf.DUMMYFUNCTION("if(isblank(B3361),,split(B3361,""-""))"),"")</f>
        <v/>
      </c>
    </row>
    <row r="3362">
      <c r="A3362" s="132"/>
      <c r="B3362" s="41"/>
      <c r="C3362" s="9"/>
      <c r="D3362" s="133"/>
      <c r="E3362" s="133"/>
      <c r="F3362" s="24"/>
      <c r="G3362" s="24"/>
      <c r="I3362" s="13" t="str">
        <f>IFERROR(__xludf.DUMMYFUNCTION("if(isblank(A3362),,split(A3362,""-""))"),"")</f>
        <v/>
      </c>
      <c r="K3362" s="13" t="str">
        <f>IFERROR(__xludf.DUMMYFUNCTION("if(isblank(B3362),,split(B3362,""-""))"),"")</f>
        <v/>
      </c>
    </row>
    <row r="3363">
      <c r="A3363" s="132"/>
      <c r="B3363" s="41"/>
      <c r="C3363" s="9"/>
      <c r="D3363" s="133"/>
      <c r="E3363" s="133"/>
      <c r="F3363" s="24"/>
      <c r="G3363" s="24"/>
      <c r="I3363" s="13" t="str">
        <f>IFERROR(__xludf.DUMMYFUNCTION("if(isblank(A3363),,split(A3363,""-""))"),"")</f>
        <v/>
      </c>
      <c r="K3363" s="13" t="str">
        <f>IFERROR(__xludf.DUMMYFUNCTION("if(isblank(B3363),,split(B3363,""-""))"),"")</f>
        <v/>
      </c>
    </row>
    <row r="3364">
      <c r="A3364" s="132"/>
      <c r="B3364" s="41"/>
      <c r="C3364" s="9"/>
      <c r="D3364" s="133"/>
      <c r="E3364" s="133"/>
      <c r="F3364" s="24"/>
      <c r="G3364" s="24"/>
      <c r="I3364" s="13" t="str">
        <f>IFERROR(__xludf.DUMMYFUNCTION("if(isblank(A3364),,split(A3364,""-""))"),"")</f>
        <v/>
      </c>
      <c r="K3364" s="13" t="str">
        <f>IFERROR(__xludf.DUMMYFUNCTION("if(isblank(B3364),,split(B3364,""-""))"),"")</f>
        <v/>
      </c>
    </row>
    <row r="3365">
      <c r="A3365" s="132"/>
      <c r="B3365" s="41"/>
      <c r="C3365" s="9"/>
      <c r="D3365" s="133"/>
      <c r="E3365" s="133"/>
      <c r="F3365" s="24"/>
      <c r="G3365" s="24"/>
      <c r="I3365" s="13" t="str">
        <f>IFERROR(__xludf.DUMMYFUNCTION("if(isblank(A3365),,split(A3365,""-""))"),"")</f>
        <v/>
      </c>
      <c r="K3365" s="13" t="str">
        <f>IFERROR(__xludf.DUMMYFUNCTION("if(isblank(B3365),,split(B3365,""-""))"),"")</f>
        <v/>
      </c>
    </row>
    <row r="3366">
      <c r="A3366" s="132"/>
      <c r="B3366" s="41"/>
      <c r="C3366" s="9"/>
      <c r="D3366" s="133"/>
      <c r="E3366" s="133"/>
      <c r="F3366" s="24"/>
      <c r="G3366" s="24"/>
      <c r="I3366" s="13" t="str">
        <f>IFERROR(__xludf.DUMMYFUNCTION("if(isblank(A3366),,split(A3366,""-""))"),"")</f>
        <v/>
      </c>
      <c r="K3366" s="13" t="str">
        <f>IFERROR(__xludf.DUMMYFUNCTION("if(isblank(B3366),,split(B3366,""-""))"),"")</f>
        <v/>
      </c>
    </row>
    <row r="3367">
      <c r="A3367" s="132"/>
      <c r="B3367" s="41"/>
      <c r="C3367" s="9"/>
      <c r="D3367" s="133"/>
      <c r="E3367" s="133"/>
      <c r="F3367" s="24"/>
      <c r="G3367" s="24"/>
      <c r="I3367" s="13" t="str">
        <f>IFERROR(__xludf.DUMMYFUNCTION("if(isblank(A3367),,split(A3367,""-""))"),"")</f>
        <v/>
      </c>
      <c r="K3367" s="13" t="str">
        <f>IFERROR(__xludf.DUMMYFUNCTION("if(isblank(B3367),,split(B3367,""-""))"),"")</f>
        <v/>
      </c>
    </row>
    <row r="3368">
      <c r="A3368" s="132"/>
      <c r="B3368" s="41"/>
      <c r="C3368" s="9"/>
      <c r="D3368" s="133"/>
      <c r="E3368" s="133"/>
      <c r="F3368" s="24"/>
      <c r="G3368" s="24"/>
      <c r="I3368" s="13" t="str">
        <f>IFERROR(__xludf.DUMMYFUNCTION("if(isblank(A3368),,split(A3368,""-""))"),"")</f>
        <v/>
      </c>
      <c r="K3368" s="13" t="str">
        <f>IFERROR(__xludf.DUMMYFUNCTION("if(isblank(B3368),,split(B3368,""-""))"),"")</f>
        <v/>
      </c>
    </row>
    <row r="3369">
      <c r="A3369" s="132"/>
      <c r="B3369" s="41"/>
      <c r="C3369" s="9"/>
      <c r="D3369" s="133"/>
      <c r="E3369" s="133"/>
      <c r="F3369" s="24"/>
      <c r="G3369" s="24"/>
      <c r="I3369" s="13" t="str">
        <f>IFERROR(__xludf.DUMMYFUNCTION("if(isblank(A3369),,split(A3369,""-""))"),"")</f>
        <v/>
      </c>
      <c r="K3369" s="13" t="str">
        <f>IFERROR(__xludf.DUMMYFUNCTION("if(isblank(B3369),,split(B3369,""-""))"),"")</f>
        <v/>
      </c>
    </row>
    <row r="3370">
      <c r="A3370" s="132"/>
      <c r="B3370" s="41"/>
      <c r="C3370" s="9"/>
      <c r="D3370" s="133"/>
      <c r="E3370" s="133"/>
      <c r="F3370" s="24"/>
      <c r="G3370" s="24"/>
      <c r="I3370" s="13" t="str">
        <f>IFERROR(__xludf.DUMMYFUNCTION("if(isblank(A3370),,split(A3370,""-""))"),"")</f>
        <v/>
      </c>
      <c r="K3370" s="13" t="str">
        <f>IFERROR(__xludf.DUMMYFUNCTION("if(isblank(B3370),,split(B3370,""-""))"),"")</f>
        <v/>
      </c>
    </row>
    <row r="3371">
      <c r="A3371" s="132"/>
      <c r="B3371" s="41"/>
      <c r="C3371" s="9"/>
      <c r="D3371" s="133"/>
      <c r="E3371" s="133"/>
      <c r="F3371" s="24"/>
      <c r="G3371" s="24"/>
      <c r="I3371" s="13" t="str">
        <f>IFERROR(__xludf.DUMMYFUNCTION("if(isblank(A3371),,split(A3371,""-""))"),"")</f>
        <v/>
      </c>
      <c r="K3371" s="13" t="str">
        <f>IFERROR(__xludf.DUMMYFUNCTION("if(isblank(B3371),,split(B3371,""-""))"),"")</f>
        <v/>
      </c>
    </row>
    <row r="3372">
      <c r="A3372" s="132"/>
      <c r="B3372" s="41"/>
      <c r="C3372" s="9"/>
      <c r="D3372" s="133"/>
      <c r="E3372" s="133"/>
      <c r="F3372" s="24"/>
      <c r="G3372" s="24"/>
      <c r="I3372" s="13" t="str">
        <f>IFERROR(__xludf.DUMMYFUNCTION("if(isblank(A3372),,split(A3372,""-""))"),"")</f>
        <v/>
      </c>
      <c r="K3372" s="13" t="str">
        <f>IFERROR(__xludf.DUMMYFUNCTION("if(isblank(B3372),,split(B3372,""-""))"),"")</f>
        <v/>
      </c>
    </row>
    <row r="3373">
      <c r="A3373" s="132"/>
      <c r="B3373" s="41"/>
      <c r="C3373" s="9"/>
      <c r="D3373" s="133"/>
      <c r="E3373" s="133"/>
      <c r="F3373" s="24"/>
      <c r="G3373" s="24"/>
      <c r="I3373" s="13" t="str">
        <f>IFERROR(__xludf.DUMMYFUNCTION("if(isblank(A3373),,split(A3373,""-""))"),"")</f>
        <v/>
      </c>
      <c r="K3373" s="13" t="str">
        <f>IFERROR(__xludf.DUMMYFUNCTION("if(isblank(B3373),,split(B3373,""-""))"),"")</f>
        <v/>
      </c>
    </row>
    <row r="3374">
      <c r="A3374" s="132"/>
      <c r="B3374" s="41"/>
      <c r="C3374" s="9"/>
      <c r="D3374" s="133"/>
      <c r="E3374" s="133"/>
      <c r="F3374" s="24"/>
      <c r="G3374" s="24"/>
      <c r="I3374" s="13" t="str">
        <f>IFERROR(__xludf.DUMMYFUNCTION("if(isblank(A3374),,split(A3374,""-""))"),"")</f>
        <v/>
      </c>
      <c r="K3374" s="13" t="str">
        <f>IFERROR(__xludf.DUMMYFUNCTION("if(isblank(B3374),,split(B3374,""-""))"),"")</f>
        <v/>
      </c>
    </row>
    <row r="3375">
      <c r="A3375" s="132"/>
      <c r="B3375" s="41"/>
      <c r="C3375" s="9"/>
      <c r="D3375" s="133"/>
      <c r="E3375" s="133"/>
      <c r="F3375" s="24"/>
      <c r="G3375" s="24"/>
      <c r="I3375" s="13" t="str">
        <f>IFERROR(__xludf.DUMMYFUNCTION("if(isblank(A3375),,split(A3375,""-""))"),"")</f>
        <v/>
      </c>
      <c r="K3375" s="13" t="str">
        <f>IFERROR(__xludf.DUMMYFUNCTION("if(isblank(B3375),,split(B3375,""-""))"),"")</f>
        <v/>
      </c>
    </row>
    <row r="3376">
      <c r="A3376" s="132"/>
      <c r="B3376" s="41"/>
      <c r="C3376" s="9"/>
      <c r="D3376" s="133"/>
      <c r="E3376" s="133"/>
      <c r="F3376" s="24"/>
      <c r="G3376" s="24"/>
      <c r="I3376" s="13" t="str">
        <f>IFERROR(__xludf.DUMMYFUNCTION("if(isblank(A3376),,split(A3376,""-""))"),"")</f>
        <v/>
      </c>
      <c r="K3376" s="13" t="str">
        <f>IFERROR(__xludf.DUMMYFUNCTION("if(isblank(B3376),,split(B3376,""-""))"),"")</f>
        <v/>
      </c>
    </row>
    <row r="3377">
      <c r="A3377" s="132"/>
      <c r="B3377" s="41"/>
      <c r="C3377" s="9"/>
      <c r="D3377" s="133"/>
      <c r="E3377" s="133"/>
      <c r="F3377" s="24"/>
      <c r="G3377" s="24"/>
      <c r="I3377" s="13" t="str">
        <f>IFERROR(__xludf.DUMMYFUNCTION("if(isblank(A3377),,split(A3377,""-""))"),"")</f>
        <v/>
      </c>
      <c r="K3377" s="13" t="str">
        <f>IFERROR(__xludf.DUMMYFUNCTION("if(isblank(B3377),,split(B3377,""-""))"),"")</f>
        <v/>
      </c>
    </row>
    <row r="3378">
      <c r="A3378" s="132"/>
      <c r="B3378" s="41"/>
      <c r="C3378" s="9"/>
      <c r="D3378" s="133"/>
      <c r="E3378" s="133"/>
      <c r="F3378" s="24"/>
      <c r="G3378" s="24"/>
      <c r="I3378" s="13" t="str">
        <f>IFERROR(__xludf.DUMMYFUNCTION("if(isblank(A3378),,split(A3378,""-""))"),"")</f>
        <v/>
      </c>
      <c r="K3378" s="13" t="str">
        <f>IFERROR(__xludf.DUMMYFUNCTION("if(isblank(B3378),,split(B3378,""-""))"),"")</f>
        <v/>
      </c>
    </row>
    <row r="3379">
      <c r="A3379" s="132"/>
      <c r="B3379" s="41"/>
      <c r="C3379" s="9"/>
      <c r="D3379" s="133"/>
      <c r="E3379" s="133"/>
      <c r="F3379" s="24"/>
      <c r="G3379" s="24"/>
      <c r="I3379" s="13" t="str">
        <f>IFERROR(__xludf.DUMMYFUNCTION("if(isblank(A3379),,split(A3379,""-""))"),"")</f>
        <v/>
      </c>
      <c r="K3379" s="13" t="str">
        <f>IFERROR(__xludf.DUMMYFUNCTION("if(isblank(B3379),,split(B3379,""-""))"),"")</f>
        <v/>
      </c>
    </row>
    <row r="3380">
      <c r="A3380" s="132"/>
      <c r="B3380" s="41"/>
      <c r="C3380" s="9"/>
      <c r="D3380" s="133"/>
      <c r="E3380" s="133"/>
      <c r="F3380" s="24"/>
      <c r="G3380" s="24"/>
      <c r="I3380" s="13" t="str">
        <f>IFERROR(__xludf.DUMMYFUNCTION("if(isblank(A3380),,split(A3380,""-""))"),"")</f>
        <v/>
      </c>
      <c r="K3380" s="13" t="str">
        <f>IFERROR(__xludf.DUMMYFUNCTION("if(isblank(B3380),,split(B3380,""-""))"),"")</f>
        <v/>
      </c>
    </row>
    <row r="3381">
      <c r="A3381" s="132"/>
      <c r="B3381" s="41"/>
      <c r="C3381" s="9"/>
      <c r="D3381" s="133"/>
      <c r="E3381" s="133"/>
      <c r="F3381" s="24"/>
      <c r="G3381" s="24"/>
      <c r="I3381" s="13" t="str">
        <f>IFERROR(__xludf.DUMMYFUNCTION("if(isblank(A3381),,split(A3381,""-""))"),"")</f>
        <v/>
      </c>
      <c r="K3381" s="13" t="str">
        <f>IFERROR(__xludf.DUMMYFUNCTION("if(isblank(B3381),,split(B3381,""-""))"),"")</f>
        <v/>
      </c>
    </row>
    <row r="3382">
      <c r="A3382" s="132"/>
      <c r="B3382" s="41"/>
      <c r="C3382" s="9"/>
      <c r="D3382" s="133"/>
      <c r="E3382" s="133"/>
      <c r="F3382" s="24"/>
      <c r="G3382" s="24"/>
      <c r="I3382" s="13" t="str">
        <f>IFERROR(__xludf.DUMMYFUNCTION("if(isblank(A3382),,split(A3382,""-""))"),"")</f>
        <v/>
      </c>
      <c r="K3382" s="13" t="str">
        <f>IFERROR(__xludf.DUMMYFUNCTION("if(isblank(B3382),,split(B3382,""-""))"),"")</f>
        <v/>
      </c>
    </row>
    <row r="3383">
      <c r="A3383" s="132"/>
      <c r="B3383" s="41"/>
      <c r="C3383" s="9"/>
      <c r="D3383" s="133"/>
      <c r="E3383" s="133"/>
      <c r="F3383" s="24"/>
      <c r="G3383" s="24"/>
      <c r="I3383" s="13" t="str">
        <f>IFERROR(__xludf.DUMMYFUNCTION("if(isblank(A3383),,split(A3383,""-""))"),"")</f>
        <v/>
      </c>
      <c r="K3383" s="13" t="str">
        <f>IFERROR(__xludf.DUMMYFUNCTION("if(isblank(B3383),,split(B3383,""-""))"),"")</f>
        <v/>
      </c>
    </row>
    <row r="3384">
      <c r="A3384" s="132"/>
      <c r="B3384" s="41"/>
      <c r="C3384" s="9"/>
      <c r="D3384" s="133"/>
      <c r="E3384" s="133"/>
      <c r="F3384" s="24"/>
      <c r="G3384" s="24"/>
      <c r="I3384" s="13" t="str">
        <f>IFERROR(__xludf.DUMMYFUNCTION("if(isblank(A3384),,split(A3384,""-""))"),"")</f>
        <v/>
      </c>
      <c r="K3384" s="13" t="str">
        <f>IFERROR(__xludf.DUMMYFUNCTION("if(isblank(B3384),,split(B3384,""-""))"),"")</f>
        <v/>
      </c>
    </row>
    <row r="3385">
      <c r="A3385" s="132"/>
      <c r="B3385" s="41"/>
      <c r="C3385" s="9"/>
      <c r="D3385" s="133"/>
      <c r="E3385" s="133"/>
      <c r="F3385" s="24"/>
      <c r="G3385" s="24"/>
      <c r="I3385" s="13" t="str">
        <f>IFERROR(__xludf.DUMMYFUNCTION("if(isblank(A3385),,split(A3385,""-""))"),"")</f>
        <v/>
      </c>
      <c r="K3385" s="13" t="str">
        <f>IFERROR(__xludf.DUMMYFUNCTION("if(isblank(B3385),,split(B3385,""-""))"),"")</f>
        <v/>
      </c>
    </row>
    <row r="3386">
      <c r="A3386" s="132"/>
      <c r="B3386" s="41"/>
      <c r="C3386" s="9"/>
      <c r="D3386" s="133"/>
      <c r="E3386" s="133"/>
      <c r="F3386" s="24"/>
      <c r="G3386" s="24"/>
      <c r="I3386" s="13" t="str">
        <f>IFERROR(__xludf.DUMMYFUNCTION("if(isblank(A3386),,split(A3386,""-""))"),"")</f>
        <v/>
      </c>
      <c r="K3386" s="13" t="str">
        <f>IFERROR(__xludf.DUMMYFUNCTION("if(isblank(B3386),,split(B3386,""-""))"),"")</f>
        <v/>
      </c>
    </row>
    <row r="3387">
      <c r="A3387" s="132"/>
      <c r="B3387" s="41"/>
      <c r="C3387" s="9"/>
      <c r="D3387" s="133"/>
      <c r="E3387" s="133"/>
      <c r="F3387" s="24"/>
      <c r="G3387" s="24"/>
      <c r="I3387" s="13" t="str">
        <f>IFERROR(__xludf.DUMMYFUNCTION("if(isblank(A3387),,split(A3387,""-""))"),"")</f>
        <v/>
      </c>
      <c r="K3387" s="13" t="str">
        <f>IFERROR(__xludf.DUMMYFUNCTION("if(isblank(B3387),,split(B3387,""-""))"),"")</f>
        <v/>
      </c>
    </row>
    <row r="3388">
      <c r="A3388" s="132"/>
      <c r="B3388" s="41"/>
      <c r="C3388" s="9"/>
      <c r="D3388" s="133"/>
      <c r="E3388" s="133"/>
      <c r="F3388" s="24"/>
      <c r="G3388" s="24"/>
      <c r="I3388" s="13" t="str">
        <f>IFERROR(__xludf.DUMMYFUNCTION("if(isblank(A3388),,split(A3388,""-""))"),"")</f>
        <v/>
      </c>
      <c r="K3388" s="13" t="str">
        <f>IFERROR(__xludf.DUMMYFUNCTION("if(isblank(B3388),,split(B3388,""-""))"),"")</f>
        <v/>
      </c>
    </row>
    <row r="3389">
      <c r="A3389" s="132"/>
      <c r="B3389" s="41"/>
      <c r="C3389" s="9"/>
      <c r="D3389" s="133"/>
      <c r="E3389" s="133"/>
      <c r="F3389" s="24"/>
      <c r="G3389" s="24"/>
      <c r="I3389" s="13" t="str">
        <f>IFERROR(__xludf.DUMMYFUNCTION("if(isblank(A3389),,split(A3389,""-""))"),"")</f>
        <v/>
      </c>
      <c r="K3389" s="13" t="str">
        <f>IFERROR(__xludf.DUMMYFUNCTION("if(isblank(B3389),,split(B3389,""-""))"),"")</f>
        <v/>
      </c>
    </row>
    <row r="3390">
      <c r="A3390" s="132"/>
      <c r="B3390" s="41"/>
      <c r="C3390" s="9"/>
      <c r="D3390" s="133"/>
      <c r="E3390" s="133"/>
      <c r="F3390" s="24"/>
      <c r="G3390" s="24"/>
      <c r="I3390" s="13" t="str">
        <f>IFERROR(__xludf.DUMMYFUNCTION("if(isblank(A3390),,split(A3390,""-""))"),"")</f>
        <v/>
      </c>
      <c r="K3390" s="13" t="str">
        <f>IFERROR(__xludf.DUMMYFUNCTION("if(isblank(B3390),,split(B3390,""-""))"),"")</f>
        <v/>
      </c>
    </row>
    <row r="3391">
      <c r="A3391" s="132"/>
      <c r="B3391" s="41"/>
      <c r="C3391" s="9"/>
      <c r="D3391" s="133"/>
      <c r="E3391" s="133"/>
      <c r="F3391" s="24"/>
      <c r="G3391" s="24"/>
      <c r="I3391" s="13" t="str">
        <f>IFERROR(__xludf.DUMMYFUNCTION("if(isblank(A3391),,split(A3391,""-""))"),"")</f>
        <v/>
      </c>
      <c r="K3391" s="13" t="str">
        <f>IFERROR(__xludf.DUMMYFUNCTION("if(isblank(B3391),,split(B3391,""-""))"),"")</f>
        <v/>
      </c>
    </row>
    <row r="3392">
      <c r="A3392" s="132"/>
      <c r="B3392" s="41"/>
      <c r="C3392" s="9"/>
      <c r="D3392" s="133"/>
      <c r="E3392" s="133"/>
      <c r="F3392" s="24"/>
      <c r="G3392" s="24"/>
      <c r="I3392" s="13" t="str">
        <f>IFERROR(__xludf.DUMMYFUNCTION("if(isblank(A3392),,split(A3392,""-""))"),"")</f>
        <v/>
      </c>
      <c r="K3392" s="13" t="str">
        <f>IFERROR(__xludf.DUMMYFUNCTION("if(isblank(B3392),,split(B3392,""-""))"),"")</f>
        <v/>
      </c>
    </row>
    <row r="3393">
      <c r="A3393" s="132"/>
      <c r="B3393" s="41"/>
      <c r="C3393" s="9"/>
      <c r="D3393" s="133"/>
      <c r="E3393" s="133"/>
      <c r="F3393" s="24"/>
      <c r="G3393" s="24"/>
      <c r="I3393" s="13" t="str">
        <f>IFERROR(__xludf.DUMMYFUNCTION("if(isblank(A3393),,split(A3393,""-""))"),"")</f>
        <v/>
      </c>
      <c r="K3393" s="13" t="str">
        <f>IFERROR(__xludf.DUMMYFUNCTION("if(isblank(B3393),,split(B3393,""-""))"),"")</f>
        <v/>
      </c>
    </row>
    <row r="3394">
      <c r="A3394" s="132"/>
      <c r="B3394" s="41"/>
      <c r="C3394" s="9"/>
      <c r="D3394" s="133"/>
      <c r="E3394" s="133"/>
      <c r="F3394" s="24"/>
      <c r="G3394" s="24"/>
      <c r="I3394" s="13" t="str">
        <f>IFERROR(__xludf.DUMMYFUNCTION("if(isblank(A3394),,split(A3394,""-""))"),"")</f>
        <v/>
      </c>
      <c r="K3394" s="13" t="str">
        <f>IFERROR(__xludf.DUMMYFUNCTION("if(isblank(B3394),,split(B3394,""-""))"),"")</f>
        <v/>
      </c>
    </row>
    <row r="3395">
      <c r="A3395" s="132"/>
      <c r="B3395" s="41"/>
      <c r="C3395" s="9"/>
      <c r="D3395" s="133"/>
      <c r="E3395" s="133"/>
      <c r="F3395" s="24"/>
      <c r="G3395" s="24"/>
      <c r="I3395" s="13" t="str">
        <f>IFERROR(__xludf.DUMMYFUNCTION("if(isblank(A3395),,split(A3395,""-""))"),"")</f>
        <v/>
      </c>
      <c r="K3395" s="13" t="str">
        <f>IFERROR(__xludf.DUMMYFUNCTION("if(isblank(B3395),,split(B3395,""-""))"),"")</f>
        <v/>
      </c>
    </row>
    <row r="3396">
      <c r="A3396" s="132"/>
      <c r="B3396" s="41"/>
      <c r="C3396" s="9"/>
      <c r="D3396" s="133"/>
      <c r="E3396" s="133"/>
      <c r="F3396" s="24"/>
      <c r="G3396" s="24"/>
      <c r="I3396" s="13" t="str">
        <f>IFERROR(__xludf.DUMMYFUNCTION("if(isblank(A3396),,split(A3396,""-""))"),"")</f>
        <v/>
      </c>
      <c r="K3396" s="13" t="str">
        <f>IFERROR(__xludf.DUMMYFUNCTION("if(isblank(B3396),,split(B3396,""-""))"),"")</f>
        <v/>
      </c>
    </row>
    <row r="3397">
      <c r="A3397" s="132"/>
      <c r="B3397" s="41"/>
      <c r="C3397" s="9"/>
      <c r="D3397" s="133"/>
      <c r="E3397" s="133"/>
      <c r="F3397" s="24"/>
      <c r="G3397" s="24"/>
      <c r="I3397" s="13" t="str">
        <f>IFERROR(__xludf.DUMMYFUNCTION("if(isblank(A3397),,split(A3397,""-""))"),"")</f>
        <v/>
      </c>
      <c r="K3397" s="13" t="str">
        <f>IFERROR(__xludf.DUMMYFUNCTION("if(isblank(B3397),,split(B3397,""-""))"),"")</f>
        <v/>
      </c>
    </row>
    <row r="3398">
      <c r="A3398" s="132"/>
      <c r="B3398" s="41"/>
      <c r="C3398" s="9"/>
      <c r="D3398" s="133"/>
      <c r="E3398" s="133"/>
      <c r="F3398" s="24"/>
      <c r="G3398" s="24"/>
      <c r="I3398" s="13" t="str">
        <f>IFERROR(__xludf.DUMMYFUNCTION("if(isblank(A3398),,split(A3398,""-""))"),"")</f>
        <v/>
      </c>
      <c r="K3398" s="13" t="str">
        <f>IFERROR(__xludf.DUMMYFUNCTION("if(isblank(B3398),,split(B3398,""-""))"),"")</f>
        <v/>
      </c>
    </row>
    <row r="3399">
      <c r="A3399" s="132"/>
      <c r="B3399" s="41"/>
      <c r="C3399" s="9"/>
      <c r="D3399" s="133"/>
      <c r="E3399" s="133"/>
      <c r="F3399" s="24"/>
      <c r="G3399" s="24"/>
      <c r="I3399" s="13" t="str">
        <f>IFERROR(__xludf.DUMMYFUNCTION("if(isblank(A3399),,split(A3399,""-""))"),"")</f>
        <v/>
      </c>
      <c r="K3399" s="13" t="str">
        <f>IFERROR(__xludf.DUMMYFUNCTION("if(isblank(B3399),,split(B3399,""-""))"),"")</f>
        <v/>
      </c>
    </row>
    <row r="3400">
      <c r="A3400" s="132"/>
      <c r="B3400" s="41"/>
      <c r="C3400" s="9"/>
      <c r="D3400" s="133"/>
      <c r="E3400" s="133"/>
      <c r="F3400" s="24"/>
      <c r="G3400" s="24"/>
      <c r="I3400" s="13" t="str">
        <f>IFERROR(__xludf.DUMMYFUNCTION("if(isblank(A3400),,split(A3400,""-""))"),"")</f>
        <v/>
      </c>
      <c r="K3400" s="13" t="str">
        <f>IFERROR(__xludf.DUMMYFUNCTION("if(isblank(B3400),,split(B3400,""-""))"),"")</f>
        <v/>
      </c>
    </row>
    <row r="3401">
      <c r="A3401" s="132"/>
      <c r="B3401" s="41"/>
      <c r="C3401" s="9"/>
      <c r="D3401" s="133"/>
      <c r="E3401" s="133"/>
      <c r="F3401" s="24"/>
      <c r="G3401" s="24"/>
      <c r="I3401" s="13" t="str">
        <f>IFERROR(__xludf.DUMMYFUNCTION("if(isblank(A3401),,split(A3401,""-""))"),"")</f>
        <v/>
      </c>
      <c r="K3401" s="13" t="str">
        <f>IFERROR(__xludf.DUMMYFUNCTION("if(isblank(B3401),,split(B3401,""-""))"),"")</f>
        <v/>
      </c>
    </row>
    <row r="3402">
      <c r="A3402" s="132"/>
      <c r="B3402" s="41"/>
      <c r="C3402" s="9"/>
      <c r="D3402" s="133"/>
      <c r="E3402" s="133"/>
      <c r="F3402" s="24"/>
      <c r="G3402" s="24"/>
      <c r="I3402" s="13" t="str">
        <f>IFERROR(__xludf.DUMMYFUNCTION("if(isblank(A3402),,split(A3402,""-""))"),"")</f>
        <v/>
      </c>
      <c r="K3402" s="13" t="str">
        <f>IFERROR(__xludf.DUMMYFUNCTION("if(isblank(B3402),,split(B3402,""-""))"),"")</f>
        <v/>
      </c>
    </row>
    <row r="3403">
      <c r="A3403" s="132"/>
      <c r="B3403" s="41"/>
      <c r="C3403" s="9"/>
      <c r="D3403" s="133"/>
      <c r="E3403" s="133"/>
      <c r="F3403" s="24"/>
      <c r="G3403" s="24"/>
      <c r="I3403" s="13" t="str">
        <f>IFERROR(__xludf.DUMMYFUNCTION("if(isblank(A3403),,split(A3403,""-""))"),"")</f>
        <v/>
      </c>
      <c r="K3403" s="13" t="str">
        <f>IFERROR(__xludf.DUMMYFUNCTION("if(isblank(B3403),,split(B3403,""-""))"),"")</f>
        <v/>
      </c>
    </row>
    <row r="3404">
      <c r="A3404" s="132"/>
      <c r="B3404" s="41"/>
      <c r="C3404" s="9"/>
      <c r="D3404" s="133"/>
      <c r="E3404" s="133"/>
      <c r="F3404" s="24"/>
      <c r="G3404" s="24"/>
      <c r="I3404" s="13" t="str">
        <f>IFERROR(__xludf.DUMMYFUNCTION("if(isblank(A3404),,split(A3404,""-""))"),"")</f>
        <v/>
      </c>
      <c r="K3404" s="13" t="str">
        <f>IFERROR(__xludf.DUMMYFUNCTION("if(isblank(B3404),,split(B3404,""-""))"),"")</f>
        <v/>
      </c>
    </row>
    <row r="3405">
      <c r="A3405" s="132"/>
      <c r="B3405" s="41"/>
      <c r="C3405" s="9"/>
      <c r="D3405" s="133"/>
      <c r="E3405" s="133"/>
      <c r="F3405" s="24"/>
      <c r="G3405" s="24"/>
      <c r="I3405" s="13" t="str">
        <f>IFERROR(__xludf.DUMMYFUNCTION("if(isblank(A3405),,split(A3405,""-""))"),"")</f>
        <v/>
      </c>
      <c r="K3405" s="13" t="str">
        <f>IFERROR(__xludf.DUMMYFUNCTION("if(isblank(B3405),,split(B3405,""-""))"),"")</f>
        <v/>
      </c>
    </row>
    <row r="3406">
      <c r="A3406" s="132"/>
      <c r="B3406" s="41"/>
      <c r="C3406" s="9"/>
      <c r="D3406" s="133"/>
      <c r="E3406" s="133"/>
      <c r="F3406" s="24"/>
      <c r="G3406" s="24"/>
      <c r="I3406" s="13" t="str">
        <f>IFERROR(__xludf.DUMMYFUNCTION("if(isblank(A3406),,split(A3406,""-""))"),"")</f>
        <v/>
      </c>
      <c r="K3406" s="13" t="str">
        <f>IFERROR(__xludf.DUMMYFUNCTION("if(isblank(B3406),,split(B3406,""-""))"),"")</f>
        <v/>
      </c>
    </row>
    <row r="3407">
      <c r="A3407" s="132"/>
      <c r="B3407" s="41"/>
      <c r="C3407" s="9"/>
      <c r="D3407" s="133"/>
      <c r="E3407" s="133"/>
      <c r="F3407" s="24"/>
      <c r="G3407" s="24"/>
      <c r="I3407" s="13" t="str">
        <f>IFERROR(__xludf.DUMMYFUNCTION("if(isblank(A3407),,split(A3407,""-""))"),"")</f>
        <v/>
      </c>
      <c r="K3407" s="13" t="str">
        <f>IFERROR(__xludf.DUMMYFUNCTION("if(isblank(B3407),,split(B3407,""-""))"),"")</f>
        <v/>
      </c>
    </row>
    <row r="3408">
      <c r="A3408" s="132"/>
      <c r="B3408" s="41"/>
      <c r="C3408" s="9"/>
      <c r="D3408" s="133"/>
      <c r="E3408" s="133"/>
      <c r="F3408" s="24"/>
      <c r="G3408" s="24"/>
      <c r="I3408" s="13" t="str">
        <f>IFERROR(__xludf.DUMMYFUNCTION("if(isblank(A3408),,split(A3408,""-""))"),"")</f>
        <v/>
      </c>
      <c r="K3408" s="13" t="str">
        <f>IFERROR(__xludf.DUMMYFUNCTION("if(isblank(B3408),,split(B3408,""-""))"),"")</f>
        <v/>
      </c>
    </row>
    <row r="3409">
      <c r="A3409" s="132"/>
      <c r="B3409" s="41"/>
      <c r="C3409" s="9"/>
      <c r="D3409" s="133"/>
      <c r="E3409" s="133"/>
      <c r="F3409" s="24"/>
      <c r="G3409" s="24"/>
      <c r="I3409" s="13" t="str">
        <f>IFERROR(__xludf.DUMMYFUNCTION("if(isblank(A3409),,split(A3409,""-""))"),"")</f>
        <v/>
      </c>
      <c r="K3409" s="13" t="str">
        <f>IFERROR(__xludf.DUMMYFUNCTION("if(isblank(B3409),,split(B3409,""-""))"),"")</f>
        <v/>
      </c>
    </row>
    <row r="3410">
      <c r="A3410" s="132"/>
      <c r="B3410" s="41"/>
      <c r="C3410" s="9"/>
      <c r="D3410" s="133"/>
      <c r="E3410" s="133"/>
      <c r="F3410" s="24"/>
      <c r="G3410" s="24"/>
      <c r="I3410" s="13" t="str">
        <f>IFERROR(__xludf.DUMMYFUNCTION("if(isblank(A3410),,split(A3410,""-""))"),"")</f>
        <v/>
      </c>
      <c r="K3410" s="13" t="str">
        <f>IFERROR(__xludf.DUMMYFUNCTION("if(isblank(B3410),,split(B3410,""-""))"),"")</f>
        <v/>
      </c>
    </row>
    <row r="3411">
      <c r="A3411" s="132"/>
      <c r="B3411" s="41"/>
      <c r="C3411" s="9"/>
      <c r="D3411" s="133"/>
      <c r="E3411" s="133"/>
      <c r="F3411" s="24"/>
      <c r="G3411" s="24"/>
      <c r="I3411" s="13" t="str">
        <f>IFERROR(__xludf.DUMMYFUNCTION("if(isblank(A3411),,split(A3411,""-""))"),"")</f>
        <v/>
      </c>
      <c r="K3411" s="13" t="str">
        <f>IFERROR(__xludf.DUMMYFUNCTION("if(isblank(B3411),,split(B3411,""-""))"),"")</f>
        <v/>
      </c>
    </row>
    <row r="3412">
      <c r="A3412" s="132"/>
      <c r="B3412" s="41"/>
      <c r="C3412" s="9"/>
      <c r="D3412" s="133"/>
      <c r="E3412" s="133"/>
      <c r="F3412" s="24"/>
      <c r="G3412" s="24"/>
      <c r="I3412" s="13" t="str">
        <f>IFERROR(__xludf.DUMMYFUNCTION("if(isblank(A3412),,split(A3412,""-""))"),"")</f>
        <v/>
      </c>
      <c r="K3412" s="13" t="str">
        <f>IFERROR(__xludf.DUMMYFUNCTION("if(isblank(B3412),,split(B3412,""-""))"),"")</f>
        <v/>
      </c>
    </row>
    <row r="3413">
      <c r="A3413" s="132"/>
      <c r="B3413" s="41"/>
      <c r="C3413" s="9"/>
      <c r="D3413" s="133"/>
      <c r="E3413" s="133"/>
      <c r="F3413" s="24"/>
      <c r="G3413" s="24"/>
      <c r="I3413" s="13" t="str">
        <f>IFERROR(__xludf.DUMMYFUNCTION("if(isblank(A3413),,split(A3413,""-""))"),"")</f>
        <v/>
      </c>
      <c r="K3413" s="13" t="str">
        <f>IFERROR(__xludf.DUMMYFUNCTION("if(isblank(B3413),,split(B3413,""-""))"),"")</f>
        <v/>
      </c>
    </row>
    <row r="3414">
      <c r="A3414" s="132"/>
      <c r="B3414" s="41"/>
      <c r="C3414" s="9"/>
      <c r="D3414" s="133"/>
      <c r="E3414" s="133"/>
      <c r="F3414" s="24"/>
      <c r="G3414" s="24"/>
      <c r="I3414" s="13" t="str">
        <f>IFERROR(__xludf.DUMMYFUNCTION("if(isblank(A3414),,split(A3414,""-""))"),"")</f>
        <v/>
      </c>
      <c r="K3414" s="13" t="str">
        <f>IFERROR(__xludf.DUMMYFUNCTION("if(isblank(B3414),,split(B3414,""-""))"),"")</f>
        <v/>
      </c>
    </row>
    <row r="3415">
      <c r="A3415" s="132"/>
      <c r="B3415" s="41"/>
      <c r="C3415" s="9"/>
      <c r="D3415" s="133"/>
      <c r="E3415" s="133"/>
      <c r="F3415" s="24"/>
      <c r="G3415" s="24"/>
      <c r="I3415" s="13" t="str">
        <f>IFERROR(__xludf.DUMMYFUNCTION("if(isblank(A3415),,split(A3415,""-""))"),"")</f>
        <v/>
      </c>
      <c r="K3415" s="13" t="str">
        <f>IFERROR(__xludf.DUMMYFUNCTION("if(isblank(B3415),,split(B3415,""-""))"),"")</f>
        <v/>
      </c>
    </row>
    <row r="3416">
      <c r="A3416" s="132"/>
      <c r="B3416" s="41"/>
      <c r="C3416" s="9"/>
      <c r="D3416" s="133"/>
      <c r="E3416" s="133"/>
      <c r="F3416" s="24"/>
      <c r="G3416" s="24"/>
      <c r="I3416" s="13" t="str">
        <f>IFERROR(__xludf.DUMMYFUNCTION("if(isblank(A3416),,split(A3416,""-""))"),"")</f>
        <v/>
      </c>
      <c r="K3416" s="13" t="str">
        <f>IFERROR(__xludf.DUMMYFUNCTION("if(isblank(B3416),,split(B3416,""-""))"),"")</f>
        <v/>
      </c>
    </row>
    <row r="3417">
      <c r="A3417" s="132"/>
      <c r="B3417" s="41"/>
      <c r="C3417" s="9"/>
      <c r="D3417" s="133"/>
      <c r="E3417" s="133"/>
      <c r="F3417" s="24"/>
      <c r="G3417" s="24"/>
      <c r="I3417" s="13" t="str">
        <f>IFERROR(__xludf.DUMMYFUNCTION("if(isblank(A3417),,split(A3417,""-""))"),"")</f>
        <v/>
      </c>
      <c r="K3417" s="13" t="str">
        <f>IFERROR(__xludf.DUMMYFUNCTION("if(isblank(B3417),,split(B3417,""-""))"),"")</f>
        <v/>
      </c>
    </row>
    <row r="3418">
      <c r="A3418" s="132"/>
      <c r="B3418" s="41"/>
      <c r="C3418" s="9"/>
      <c r="D3418" s="133"/>
      <c r="E3418" s="133"/>
      <c r="F3418" s="24"/>
      <c r="G3418" s="24"/>
      <c r="I3418" s="13" t="str">
        <f>IFERROR(__xludf.DUMMYFUNCTION("if(isblank(A3418),,split(A3418,""-""))"),"")</f>
        <v/>
      </c>
      <c r="K3418" s="13" t="str">
        <f>IFERROR(__xludf.DUMMYFUNCTION("if(isblank(B3418),,split(B3418,""-""))"),"")</f>
        <v/>
      </c>
    </row>
    <row r="3419">
      <c r="A3419" s="132"/>
      <c r="B3419" s="41"/>
      <c r="C3419" s="9"/>
      <c r="D3419" s="133"/>
      <c r="E3419" s="133"/>
      <c r="F3419" s="24"/>
      <c r="G3419" s="24"/>
      <c r="I3419" s="13" t="str">
        <f>IFERROR(__xludf.DUMMYFUNCTION("if(isblank(A3419),,split(A3419,""-""))"),"")</f>
        <v/>
      </c>
      <c r="K3419" s="13" t="str">
        <f>IFERROR(__xludf.DUMMYFUNCTION("if(isblank(B3419),,split(B3419,""-""))"),"")</f>
        <v/>
      </c>
    </row>
    <row r="3420">
      <c r="A3420" s="132"/>
      <c r="B3420" s="41"/>
      <c r="C3420" s="9"/>
      <c r="D3420" s="133"/>
      <c r="E3420" s="133"/>
      <c r="F3420" s="24"/>
      <c r="G3420" s="24"/>
      <c r="I3420" s="13" t="str">
        <f>IFERROR(__xludf.DUMMYFUNCTION("if(isblank(A3420),,split(A3420,""-""))"),"")</f>
        <v/>
      </c>
      <c r="K3420" s="13" t="str">
        <f>IFERROR(__xludf.DUMMYFUNCTION("if(isblank(B3420),,split(B3420,""-""))"),"")</f>
        <v/>
      </c>
    </row>
    <row r="3421">
      <c r="A3421" s="132"/>
      <c r="B3421" s="41"/>
      <c r="C3421" s="9"/>
      <c r="D3421" s="133"/>
      <c r="E3421" s="133"/>
      <c r="F3421" s="24"/>
      <c r="G3421" s="24"/>
      <c r="I3421" s="13" t="str">
        <f>IFERROR(__xludf.DUMMYFUNCTION("if(isblank(A3421),,split(A3421,""-""))"),"")</f>
        <v/>
      </c>
      <c r="K3421" s="13" t="str">
        <f>IFERROR(__xludf.DUMMYFUNCTION("if(isblank(B3421),,split(B3421,""-""))"),"")</f>
        <v/>
      </c>
    </row>
    <row r="3422">
      <c r="A3422" s="132"/>
      <c r="B3422" s="41"/>
      <c r="C3422" s="9"/>
      <c r="D3422" s="133"/>
      <c r="E3422" s="133"/>
      <c r="F3422" s="24"/>
      <c r="G3422" s="24"/>
      <c r="I3422" s="13" t="str">
        <f>IFERROR(__xludf.DUMMYFUNCTION("if(isblank(A3422),,split(A3422,""-""))"),"")</f>
        <v/>
      </c>
      <c r="K3422" s="13" t="str">
        <f>IFERROR(__xludf.DUMMYFUNCTION("if(isblank(B3422),,split(B3422,""-""))"),"")</f>
        <v/>
      </c>
    </row>
    <row r="3423">
      <c r="A3423" s="132"/>
      <c r="B3423" s="41"/>
      <c r="C3423" s="9"/>
      <c r="D3423" s="133"/>
      <c r="E3423" s="133"/>
      <c r="F3423" s="24"/>
      <c r="G3423" s="24"/>
      <c r="I3423" s="13" t="str">
        <f>IFERROR(__xludf.DUMMYFUNCTION("if(isblank(A3423),,split(A3423,""-""))"),"")</f>
        <v/>
      </c>
      <c r="K3423" s="13" t="str">
        <f>IFERROR(__xludf.DUMMYFUNCTION("if(isblank(B3423),,split(B3423,""-""))"),"")</f>
        <v/>
      </c>
    </row>
    <row r="3424">
      <c r="A3424" s="132"/>
      <c r="B3424" s="41"/>
      <c r="C3424" s="9"/>
      <c r="D3424" s="133"/>
      <c r="E3424" s="133"/>
      <c r="F3424" s="24"/>
      <c r="G3424" s="24"/>
      <c r="I3424" s="13" t="str">
        <f>IFERROR(__xludf.DUMMYFUNCTION("if(isblank(A3424),,split(A3424,""-""))"),"")</f>
        <v/>
      </c>
      <c r="K3424" s="13" t="str">
        <f>IFERROR(__xludf.DUMMYFUNCTION("if(isblank(B3424),,split(B3424,""-""))"),"")</f>
        <v/>
      </c>
    </row>
    <row r="3425">
      <c r="A3425" s="132"/>
      <c r="B3425" s="41"/>
      <c r="C3425" s="9"/>
      <c r="D3425" s="133"/>
      <c r="E3425" s="133"/>
      <c r="F3425" s="24"/>
      <c r="G3425" s="24"/>
      <c r="I3425" s="13" t="str">
        <f>IFERROR(__xludf.DUMMYFUNCTION("if(isblank(A3425),,split(A3425,""-""))"),"")</f>
        <v/>
      </c>
      <c r="K3425" s="13" t="str">
        <f>IFERROR(__xludf.DUMMYFUNCTION("if(isblank(B3425),,split(B3425,""-""))"),"")</f>
        <v/>
      </c>
    </row>
    <row r="3426">
      <c r="A3426" s="132"/>
      <c r="B3426" s="41"/>
      <c r="C3426" s="9"/>
      <c r="D3426" s="133"/>
      <c r="E3426" s="133"/>
      <c r="F3426" s="24"/>
      <c r="G3426" s="24"/>
      <c r="I3426" s="13" t="str">
        <f>IFERROR(__xludf.DUMMYFUNCTION("if(isblank(A3426),,split(A3426,""-""))"),"")</f>
        <v/>
      </c>
      <c r="K3426" s="13" t="str">
        <f>IFERROR(__xludf.DUMMYFUNCTION("if(isblank(B3426),,split(B3426,""-""))"),"")</f>
        <v/>
      </c>
    </row>
    <row r="3427">
      <c r="A3427" s="132"/>
      <c r="B3427" s="41"/>
      <c r="C3427" s="9"/>
      <c r="D3427" s="133"/>
      <c r="E3427" s="133"/>
      <c r="F3427" s="24"/>
      <c r="G3427" s="24"/>
      <c r="I3427" s="13" t="str">
        <f>IFERROR(__xludf.DUMMYFUNCTION("if(isblank(A3427),,split(A3427,""-""))"),"")</f>
        <v/>
      </c>
      <c r="K3427" s="13" t="str">
        <f>IFERROR(__xludf.DUMMYFUNCTION("if(isblank(B3427),,split(B3427,""-""))"),"")</f>
        <v/>
      </c>
    </row>
    <row r="3428">
      <c r="A3428" s="132"/>
      <c r="B3428" s="41"/>
      <c r="C3428" s="9"/>
      <c r="D3428" s="133"/>
      <c r="E3428" s="133"/>
      <c r="F3428" s="24"/>
      <c r="G3428" s="24"/>
      <c r="I3428" s="13" t="str">
        <f>IFERROR(__xludf.DUMMYFUNCTION("if(isblank(A3428),,split(A3428,""-""))"),"")</f>
        <v/>
      </c>
      <c r="K3428" s="13" t="str">
        <f>IFERROR(__xludf.DUMMYFUNCTION("if(isblank(B3428),,split(B3428,""-""))"),"")</f>
        <v/>
      </c>
    </row>
    <row r="3429">
      <c r="A3429" s="132"/>
      <c r="B3429" s="41"/>
      <c r="C3429" s="9"/>
      <c r="D3429" s="133"/>
      <c r="E3429" s="133"/>
      <c r="F3429" s="24"/>
      <c r="G3429" s="24"/>
      <c r="I3429" s="13" t="str">
        <f>IFERROR(__xludf.DUMMYFUNCTION("if(isblank(A3429),,split(A3429,""-""))"),"")</f>
        <v/>
      </c>
      <c r="K3429" s="13" t="str">
        <f>IFERROR(__xludf.DUMMYFUNCTION("if(isblank(B3429),,split(B3429,""-""))"),"")</f>
        <v/>
      </c>
    </row>
    <row r="3430">
      <c r="A3430" s="132"/>
      <c r="B3430" s="41"/>
      <c r="C3430" s="9"/>
      <c r="D3430" s="133"/>
      <c r="E3430" s="133"/>
      <c r="F3430" s="24"/>
      <c r="G3430" s="24"/>
      <c r="I3430" s="13" t="str">
        <f>IFERROR(__xludf.DUMMYFUNCTION("if(isblank(A3430),,split(A3430,""-""))"),"")</f>
        <v/>
      </c>
      <c r="K3430" s="13" t="str">
        <f>IFERROR(__xludf.DUMMYFUNCTION("if(isblank(B3430),,split(B3430,""-""))"),"")</f>
        <v/>
      </c>
    </row>
    <row r="3431">
      <c r="A3431" s="132"/>
      <c r="B3431" s="41"/>
      <c r="C3431" s="9"/>
      <c r="D3431" s="133"/>
      <c r="E3431" s="133"/>
      <c r="F3431" s="24"/>
      <c r="G3431" s="24"/>
      <c r="I3431" s="13" t="str">
        <f>IFERROR(__xludf.DUMMYFUNCTION("if(isblank(A3431),,split(A3431,""-""))"),"")</f>
        <v/>
      </c>
      <c r="K3431" s="13" t="str">
        <f>IFERROR(__xludf.DUMMYFUNCTION("if(isblank(B3431),,split(B3431,""-""))"),"")</f>
        <v/>
      </c>
    </row>
    <row r="3432">
      <c r="A3432" s="132"/>
      <c r="B3432" s="41"/>
      <c r="C3432" s="9"/>
      <c r="D3432" s="133"/>
      <c r="E3432" s="133"/>
      <c r="F3432" s="24"/>
      <c r="G3432" s="24"/>
      <c r="I3432" s="13" t="str">
        <f>IFERROR(__xludf.DUMMYFUNCTION("if(isblank(A3432),,split(A3432,""-""))"),"")</f>
        <v/>
      </c>
      <c r="K3432" s="13" t="str">
        <f>IFERROR(__xludf.DUMMYFUNCTION("if(isblank(B3432),,split(B3432,""-""))"),"")</f>
        <v/>
      </c>
    </row>
    <row r="3433">
      <c r="A3433" s="132"/>
      <c r="B3433" s="41"/>
      <c r="C3433" s="9"/>
      <c r="D3433" s="133"/>
      <c r="E3433" s="133"/>
      <c r="F3433" s="24"/>
      <c r="G3433" s="24"/>
      <c r="I3433" s="13" t="str">
        <f>IFERROR(__xludf.DUMMYFUNCTION("if(isblank(A3433),,split(A3433,""-""))"),"")</f>
        <v/>
      </c>
      <c r="K3433" s="13" t="str">
        <f>IFERROR(__xludf.DUMMYFUNCTION("if(isblank(B3433),,split(B3433,""-""))"),"")</f>
        <v/>
      </c>
    </row>
    <row r="3434">
      <c r="A3434" s="132"/>
      <c r="B3434" s="41"/>
      <c r="C3434" s="9"/>
      <c r="D3434" s="133"/>
      <c r="E3434" s="133"/>
      <c r="F3434" s="24"/>
      <c r="G3434" s="24"/>
      <c r="I3434" s="13" t="str">
        <f>IFERROR(__xludf.DUMMYFUNCTION("if(isblank(A3434),,split(A3434,""-""))"),"")</f>
        <v/>
      </c>
      <c r="K3434" s="13" t="str">
        <f>IFERROR(__xludf.DUMMYFUNCTION("if(isblank(B3434),,split(B3434,""-""))"),"")</f>
        <v/>
      </c>
    </row>
    <row r="3435">
      <c r="A3435" s="132"/>
      <c r="B3435" s="41"/>
      <c r="C3435" s="9"/>
      <c r="D3435" s="133"/>
      <c r="E3435" s="133"/>
      <c r="F3435" s="24"/>
      <c r="G3435" s="24"/>
      <c r="I3435" s="13" t="str">
        <f>IFERROR(__xludf.DUMMYFUNCTION("if(isblank(A3435),,split(A3435,""-""))"),"")</f>
        <v/>
      </c>
      <c r="K3435" s="13" t="str">
        <f>IFERROR(__xludf.DUMMYFUNCTION("if(isblank(B3435),,split(B3435,""-""))"),"")</f>
        <v/>
      </c>
    </row>
    <row r="3436">
      <c r="A3436" s="132"/>
      <c r="B3436" s="41"/>
      <c r="C3436" s="9"/>
      <c r="D3436" s="133"/>
      <c r="E3436" s="133"/>
      <c r="F3436" s="24"/>
      <c r="G3436" s="24"/>
      <c r="I3436" s="13" t="str">
        <f>IFERROR(__xludf.DUMMYFUNCTION("if(isblank(A3436),,split(A3436,""-""))"),"")</f>
        <v/>
      </c>
      <c r="K3436" s="13" t="str">
        <f>IFERROR(__xludf.DUMMYFUNCTION("if(isblank(B3436),,split(B3436,""-""))"),"")</f>
        <v/>
      </c>
    </row>
    <row r="3437">
      <c r="A3437" s="132"/>
      <c r="B3437" s="41"/>
      <c r="C3437" s="9"/>
      <c r="D3437" s="133"/>
      <c r="E3437" s="133"/>
      <c r="F3437" s="24"/>
      <c r="G3437" s="24"/>
      <c r="I3437" s="13" t="str">
        <f>IFERROR(__xludf.DUMMYFUNCTION("if(isblank(A3437),,split(A3437,""-""))"),"")</f>
        <v/>
      </c>
      <c r="K3437" s="13" t="str">
        <f>IFERROR(__xludf.DUMMYFUNCTION("if(isblank(B3437),,split(B3437,""-""))"),"")</f>
        <v/>
      </c>
    </row>
    <row r="3438">
      <c r="A3438" s="132"/>
      <c r="B3438" s="41"/>
      <c r="C3438" s="9"/>
      <c r="D3438" s="133"/>
      <c r="E3438" s="133"/>
      <c r="F3438" s="24"/>
      <c r="G3438" s="24"/>
      <c r="I3438" s="13" t="str">
        <f>IFERROR(__xludf.DUMMYFUNCTION("if(isblank(A3438),,split(A3438,""-""))"),"")</f>
        <v/>
      </c>
      <c r="K3438" s="13" t="str">
        <f>IFERROR(__xludf.DUMMYFUNCTION("if(isblank(B3438),,split(B3438,""-""))"),"")</f>
        <v/>
      </c>
    </row>
    <row r="3439">
      <c r="A3439" s="132"/>
      <c r="B3439" s="41"/>
      <c r="C3439" s="9"/>
      <c r="D3439" s="133"/>
      <c r="E3439" s="133"/>
      <c r="F3439" s="24"/>
      <c r="G3439" s="24"/>
      <c r="I3439" s="13" t="str">
        <f>IFERROR(__xludf.DUMMYFUNCTION("if(isblank(A3439),,split(A3439,""-""))"),"")</f>
        <v/>
      </c>
      <c r="K3439" s="13" t="str">
        <f>IFERROR(__xludf.DUMMYFUNCTION("if(isblank(B3439),,split(B3439,""-""))"),"")</f>
        <v/>
      </c>
    </row>
    <row r="3440">
      <c r="A3440" s="132"/>
      <c r="B3440" s="41"/>
      <c r="C3440" s="9"/>
      <c r="D3440" s="133"/>
      <c r="E3440" s="133"/>
      <c r="F3440" s="24"/>
      <c r="G3440" s="24"/>
      <c r="I3440" s="13" t="str">
        <f>IFERROR(__xludf.DUMMYFUNCTION("if(isblank(A3440),,split(A3440,""-""))"),"")</f>
        <v/>
      </c>
      <c r="K3440" s="13" t="str">
        <f>IFERROR(__xludf.DUMMYFUNCTION("if(isblank(B3440),,split(B3440,""-""))"),"")</f>
        <v/>
      </c>
    </row>
    <row r="3441">
      <c r="A3441" s="132"/>
      <c r="B3441" s="41"/>
      <c r="C3441" s="9"/>
      <c r="D3441" s="133"/>
      <c r="E3441" s="133"/>
      <c r="F3441" s="24"/>
      <c r="G3441" s="24"/>
      <c r="I3441" s="13" t="str">
        <f>IFERROR(__xludf.DUMMYFUNCTION("if(isblank(A3441),,split(A3441,""-""))"),"")</f>
        <v/>
      </c>
      <c r="K3441" s="13" t="str">
        <f>IFERROR(__xludf.DUMMYFUNCTION("if(isblank(B3441),,split(B3441,""-""))"),"")</f>
        <v/>
      </c>
    </row>
    <row r="3442">
      <c r="A3442" s="132"/>
      <c r="B3442" s="41"/>
      <c r="C3442" s="9"/>
      <c r="D3442" s="133"/>
      <c r="E3442" s="133"/>
      <c r="F3442" s="24"/>
      <c r="G3442" s="24"/>
      <c r="I3442" s="13" t="str">
        <f>IFERROR(__xludf.DUMMYFUNCTION("if(isblank(A3442),,split(A3442,""-""))"),"")</f>
        <v/>
      </c>
      <c r="K3442" s="13" t="str">
        <f>IFERROR(__xludf.DUMMYFUNCTION("if(isblank(B3442),,split(B3442,""-""))"),"")</f>
        <v/>
      </c>
    </row>
    <row r="3443">
      <c r="A3443" s="132"/>
      <c r="B3443" s="41"/>
      <c r="C3443" s="9"/>
      <c r="D3443" s="133"/>
      <c r="E3443" s="133"/>
      <c r="F3443" s="24"/>
      <c r="G3443" s="24"/>
      <c r="I3443" s="13" t="str">
        <f>IFERROR(__xludf.DUMMYFUNCTION("if(isblank(A3443),,split(A3443,""-""))"),"")</f>
        <v/>
      </c>
      <c r="K3443" s="13" t="str">
        <f>IFERROR(__xludf.DUMMYFUNCTION("if(isblank(B3443),,split(B3443,""-""))"),"")</f>
        <v/>
      </c>
    </row>
    <row r="3444">
      <c r="A3444" s="132"/>
      <c r="B3444" s="41"/>
      <c r="C3444" s="9"/>
      <c r="D3444" s="133"/>
      <c r="E3444" s="133"/>
      <c r="F3444" s="24"/>
      <c r="G3444" s="24"/>
      <c r="I3444" s="13" t="str">
        <f>IFERROR(__xludf.DUMMYFUNCTION("if(isblank(A3444),,split(A3444,""-""))"),"")</f>
        <v/>
      </c>
      <c r="K3444" s="13" t="str">
        <f>IFERROR(__xludf.DUMMYFUNCTION("if(isblank(B3444),,split(B3444,""-""))"),"")</f>
        <v/>
      </c>
    </row>
    <row r="3445">
      <c r="A3445" s="132"/>
      <c r="B3445" s="41"/>
      <c r="C3445" s="9"/>
      <c r="D3445" s="133"/>
      <c r="E3445" s="133"/>
      <c r="F3445" s="24"/>
      <c r="G3445" s="24"/>
      <c r="I3445" s="13" t="str">
        <f>IFERROR(__xludf.DUMMYFUNCTION("if(isblank(A3445),,split(A3445,""-""))"),"")</f>
        <v/>
      </c>
      <c r="K3445" s="13" t="str">
        <f>IFERROR(__xludf.DUMMYFUNCTION("if(isblank(B3445),,split(B3445,""-""))"),"")</f>
        <v/>
      </c>
    </row>
    <row r="3446">
      <c r="A3446" s="132"/>
      <c r="B3446" s="41"/>
      <c r="C3446" s="9"/>
      <c r="D3446" s="133"/>
      <c r="E3446" s="133"/>
      <c r="F3446" s="24"/>
      <c r="G3446" s="24"/>
      <c r="I3446" s="13" t="str">
        <f>IFERROR(__xludf.DUMMYFUNCTION("if(isblank(A3446),,split(A3446,""-""))"),"")</f>
        <v/>
      </c>
      <c r="K3446" s="13" t="str">
        <f>IFERROR(__xludf.DUMMYFUNCTION("if(isblank(B3446),,split(B3446,""-""))"),"")</f>
        <v/>
      </c>
    </row>
    <row r="3447">
      <c r="A3447" s="132"/>
      <c r="B3447" s="41"/>
      <c r="C3447" s="9"/>
      <c r="D3447" s="133"/>
      <c r="E3447" s="133"/>
      <c r="F3447" s="24"/>
      <c r="G3447" s="24"/>
      <c r="I3447" s="13" t="str">
        <f>IFERROR(__xludf.DUMMYFUNCTION("if(isblank(A3447),,split(A3447,""-""))"),"")</f>
        <v/>
      </c>
      <c r="K3447" s="13" t="str">
        <f>IFERROR(__xludf.DUMMYFUNCTION("if(isblank(B3447),,split(B3447,""-""))"),"")</f>
        <v/>
      </c>
    </row>
    <row r="3448">
      <c r="A3448" s="132"/>
      <c r="B3448" s="41"/>
      <c r="C3448" s="9"/>
      <c r="D3448" s="133"/>
      <c r="E3448" s="133"/>
      <c r="F3448" s="24"/>
      <c r="G3448" s="24"/>
      <c r="I3448" s="13" t="str">
        <f>IFERROR(__xludf.DUMMYFUNCTION("if(isblank(A3448),,split(A3448,""-""))"),"")</f>
        <v/>
      </c>
      <c r="K3448" s="13" t="str">
        <f>IFERROR(__xludf.DUMMYFUNCTION("if(isblank(B3448),,split(B3448,""-""))"),"")</f>
        <v/>
      </c>
    </row>
    <row r="3449">
      <c r="A3449" s="132"/>
      <c r="B3449" s="41"/>
      <c r="C3449" s="9"/>
      <c r="D3449" s="133"/>
      <c r="E3449" s="133"/>
      <c r="F3449" s="24"/>
      <c r="G3449" s="24"/>
      <c r="I3449" s="13" t="str">
        <f>IFERROR(__xludf.DUMMYFUNCTION("if(isblank(A3449),,split(A3449,""-""))"),"")</f>
        <v/>
      </c>
      <c r="K3449" s="13" t="str">
        <f>IFERROR(__xludf.DUMMYFUNCTION("if(isblank(B3449),,split(B3449,""-""))"),"")</f>
        <v/>
      </c>
    </row>
    <row r="3450">
      <c r="A3450" s="132"/>
      <c r="B3450" s="41"/>
      <c r="C3450" s="9"/>
      <c r="D3450" s="133"/>
      <c r="E3450" s="133"/>
      <c r="F3450" s="24"/>
      <c r="G3450" s="24"/>
      <c r="I3450" s="13" t="str">
        <f>IFERROR(__xludf.DUMMYFUNCTION("if(isblank(A3450),,split(A3450,""-""))"),"")</f>
        <v/>
      </c>
      <c r="K3450" s="13" t="str">
        <f>IFERROR(__xludf.DUMMYFUNCTION("if(isblank(B3450),,split(B3450,""-""))"),"")</f>
        <v/>
      </c>
    </row>
    <row r="3451">
      <c r="A3451" s="132"/>
      <c r="B3451" s="41"/>
      <c r="C3451" s="9"/>
      <c r="D3451" s="133"/>
      <c r="E3451" s="133"/>
      <c r="F3451" s="24"/>
      <c r="G3451" s="24"/>
      <c r="I3451" s="13" t="str">
        <f>IFERROR(__xludf.DUMMYFUNCTION("if(isblank(A3451),,split(A3451,""-""))"),"")</f>
        <v/>
      </c>
      <c r="K3451" s="13" t="str">
        <f>IFERROR(__xludf.DUMMYFUNCTION("if(isblank(B3451),,split(B3451,""-""))"),"")</f>
        <v/>
      </c>
    </row>
    <row r="3452">
      <c r="A3452" s="132"/>
      <c r="B3452" s="41"/>
      <c r="C3452" s="9"/>
      <c r="D3452" s="133"/>
      <c r="E3452" s="133"/>
      <c r="F3452" s="24"/>
      <c r="G3452" s="24"/>
      <c r="I3452" s="13" t="str">
        <f>IFERROR(__xludf.DUMMYFUNCTION("if(isblank(A3452),,split(A3452,""-""))"),"")</f>
        <v/>
      </c>
      <c r="K3452" s="13" t="str">
        <f>IFERROR(__xludf.DUMMYFUNCTION("if(isblank(B3452),,split(B3452,""-""))"),"")</f>
        <v/>
      </c>
    </row>
    <row r="3453">
      <c r="A3453" s="132"/>
      <c r="B3453" s="41"/>
      <c r="C3453" s="9"/>
      <c r="D3453" s="133"/>
      <c r="E3453" s="133"/>
      <c r="F3453" s="24"/>
      <c r="G3453" s="24"/>
      <c r="I3453" s="13" t="str">
        <f>IFERROR(__xludf.DUMMYFUNCTION("if(isblank(A3453),,split(A3453,""-""))"),"")</f>
        <v/>
      </c>
      <c r="K3453" s="13" t="str">
        <f>IFERROR(__xludf.DUMMYFUNCTION("if(isblank(B3453),,split(B3453,""-""))"),"")</f>
        <v/>
      </c>
    </row>
    <row r="3454">
      <c r="A3454" s="132"/>
      <c r="B3454" s="41"/>
      <c r="C3454" s="9"/>
      <c r="D3454" s="133"/>
      <c r="E3454" s="133"/>
      <c r="F3454" s="24"/>
      <c r="G3454" s="24"/>
      <c r="I3454" s="13" t="str">
        <f>IFERROR(__xludf.DUMMYFUNCTION("if(isblank(A3454),,split(A3454,""-""))"),"")</f>
        <v/>
      </c>
      <c r="K3454" s="13" t="str">
        <f>IFERROR(__xludf.DUMMYFUNCTION("if(isblank(B3454),,split(B3454,""-""))"),"")</f>
        <v/>
      </c>
    </row>
    <row r="3455">
      <c r="A3455" s="132"/>
      <c r="B3455" s="41"/>
      <c r="C3455" s="9"/>
      <c r="D3455" s="133"/>
      <c r="E3455" s="133"/>
      <c r="F3455" s="24"/>
      <c r="G3455" s="24"/>
      <c r="I3455" s="13" t="str">
        <f>IFERROR(__xludf.DUMMYFUNCTION("if(isblank(A3455),,split(A3455,""-""))"),"")</f>
        <v/>
      </c>
      <c r="K3455" s="13" t="str">
        <f>IFERROR(__xludf.DUMMYFUNCTION("if(isblank(B3455),,split(B3455,""-""))"),"")</f>
        <v/>
      </c>
    </row>
    <row r="3456">
      <c r="A3456" s="132"/>
      <c r="B3456" s="41"/>
      <c r="C3456" s="9"/>
      <c r="D3456" s="133"/>
      <c r="E3456" s="133"/>
      <c r="F3456" s="24"/>
      <c r="G3456" s="24"/>
      <c r="I3456" s="13" t="str">
        <f>IFERROR(__xludf.DUMMYFUNCTION("if(isblank(A3456),,split(A3456,""-""))"),"")</f>
        <v/>
      </c>
      <c r="K3456" s="13" t="str">
        <f>IFERROR(__xludf.DUMMYFUNCTION("if(isblank(B3456),,split(B3456,""-""))"),"")</f>
        <v/>
      </c>
    </row>
    <row r="3457">
      <c r="A3457" s="132"/>
      <c r="B3457" s="41"/>
      <c r="C3457" s="9"/>
      <c r="D3457" s="133"/>
      <c r="E3457" s="133"/>
      <c r="F3457" s="24"/>
      <c r="G3457" s="24"/>
      <c r="I3457" s="13" t="str">
        <f>IFERROR(__xludf.DUMMYFUNCTION("if(isblank(A3457),,split(A3457,""-""))"),"")</f>
        <v/>
      </c>
      <c r="K3457" s="13" t="str">
        <f>IFERROR(__xludf.DUMMYFUNCTION("if(isblank(B3457),,split(B3457,""-""))"),"")</f>
        <v/>
      </c>
    </row>
    <row r="3458">
      <c r="A3458" s="132"/>
      <c r="B3458" s="41"/>
      <c r="C3458" s="9"/>
      <c r="D3458" s="133"/>
      <c r="E3458" s="133"/>
      <c r="F3458" s="24"/>
      <c r="G3458" s="24"/>
      <c r="I3458" s="13" t="str">
        <f>IFERROR(__xludf.DUMMYFUNCTION("if(isblank(A3458),,split(A3458,""-""))"),"")</f>
        <v/>
      </c>
      <c r="K3458" s="13" t="str">
        <f>IFERROR(__xludf.DUMMYFUNCTION("if(isblank(B3458),,split(B3458,""-""))"),"")</f>
        <v/>
      </c>
    </row>
    <row r="3459">
      <c r="A3459" s="132"/>
      <c r="B3459" s="41"/>
      <c r="C3459" s="9"/>
      <c r="D3459" s="133"/>
      <c r="E3459" s="133"/>
      <c r="F3459" s="24"/>
      <c r="G3459" s="24"/>
      <c r="I3459" s="13" t="str">
        <f>IFERROR(__xludf.DUMMYFUNCTION("if(isblank(A3459),,split(A3459,""-""))"),"")</f>
        <v/>
      </c>
      <c r="K3459" s="13" t="str">
        <f>IFERROR(__xludf.DUMMYFUNCTION("if(isblank(B3459),,split(B3459,""-""))"),"")</f>
        <v/>
      </c>
    </row>
    <row r="3460">
      <c r="A3460" s="132"/>
      <c r="B3460" s="41"/>
      <c r="C3460" s="9"/>
      <c r="D3460" s="133"/>
      <c r="E3460" s="133"/>
      <c r="F3460" s="24"/>
      <c r="G3460" s="24"/>
      <c r="I3460" s="13" t="str">
        <f>IFERROR(__xludf.DUMMYFUNCTION("if(isblank(A3460),,split(A3460,""-""))"),"")</f>
        <v/>
      </c>
      <c r="K3460" s="13" t="str">
        <f>IFERROR(__xludf.DUMMYFUNCTION("if(isblank(B3460),,split(B3460,""-""))"),"")</f>
        <v/>
      </c>
    </row>
    <row r="3461">
      <c r="A3461" s="132"/>
      <c r="B3461" s="41"/>
      <c r="C3461" s="9"/>
      <c r="D3461" s="133"/>
      <c r="E3461" s="133"/>
      <c r="F3461" s="24"/>
      <c r="G3461" s="24"/>
      <c r="I3461" s="13" t="str">
        <f>IFERROR(__xludf.DUMMYFUNCTION("if(isblank(A3461),,split(A3461,""-""))"),"")</f>
        <v/>
      </c>
      <c r="K3461" s="13" t="str">
        <f>IFERROR(__xludf.DUMMYFUNCTION("if(isblank(B3461),,split(B3461,""-""))"),"")</f>
        <v/>
      </c>
    </row>
    <row r="3462">
      <c r="A3462" s="132"/>
      <c r="B3462" s="41"/>
      <c r="C3462" s="9"/>
      <c r="D3462" s="133"/>
      <c r="E3462" s="133"/>
      <c r="F3462" s="24"/>
      <c r="G3462" s="24"/>
      <c r="I3462" s="13" t="str">
        <f>IFERROR(__xludf.DUMMYFUNCTION("if(isblank(A3462),,split(A3462,""-""))"),"")</f>
        <v/>
      </c>
      <c r="K3462" s="13" t="str">
        <f>IFERROR(__xludf.DUMMYFUNCTION("if(isblank(B3462),,split(B3462,""-""))"),"")</f>
        <v/>
      </c>
    </row>
    <row r="3463">
      <c r="A3463" s="132"/>
      <c r="B3463" s="41"/>
      <c r="C3463" s="9"/>
      <c r="D3463" s="133"/>
      <c r="E3463" s="133"/>
      <c r="F3463" s="24"/>
      <c r="G3463" s="24"/>
      <c r="I3463" s="13" t="str">
        <f>IFERROR(__xludf.DUMMYFUNCTION("if(isblank(A3463),,split(A3463,""-""))"),"")</f>
        <v/>
      </c>
      <c r="K3463" s="13" t="str">
        <f>IFERROR(__xludf.DUMMYFUNCTION("if(isblank(B3463),,split(B3463,""-""))"),"")</f>
        <v/>
      </c>
    </row>
    <row r="3464">
      <c r="A3464" s="132"/>
      <c r="B3464" s="41"/>
      <c r="C3464" s="9"/>
      <c r="D3464" s="133"/>
      <c r="E3464" s="133"/>
      <c r="F3464" s="24"/>
      <c r="G3464" s="24"/>
      <c r="I3464" s="13" t="str">
        <f>IFERROR(__xludf.DUMMYFUNCTION("if(isblank(A3464),,split(A3464,""-""))"),"")</f>
        <v/>
      </c>
      <c r="K3464" s="13" t="str">
        <f>IFERROR(__xludf.DUMMYFUNCTION("if(isblank(B3464),,split(B3464,""-""))"),"")</f>
        <v/>
      </c>
    </row>
    <row r="3465">
      <c r="A3465" s="132"/>
      <c r="B3465" s="41"/>
      <c r="C3465" s="9"/>
      <c r="D3465" s="133"/>
      <c r="E3465" s="133"/>
      <c r="F3465" s="24"/>
      <c r="G3465" s="24"/>
      <c r="I3465" s="13" t="str">
        <f>IFERROR(__xludf.DUMMYFUNCTION("if(isblank(A3465),,split(A3465,""-""))"),"")</f>
        <v/>
      </c>
      <c r="K3465" s="13" t="str">
        <f>IFERROR(__xludf.DUMMYFUNCTION("if(isblank(B3465),,split(B3465,""-""))"),"")</f>
        <v/>
      </c>
    </row>
    <row r="3466">
      <c r="A3466" s="132"/>
      <c r="B3466" s="41"/>
      <c r="C3466" s="9"/>
      <c r="D3466" s="133"/>
      <c r="E3466" s="133"/>
      <c r="F3466" s="24"/>
      <c r="G3466" s="24"/>
      <c r="I3466" s="13" t="str">
        <f>IFERROR(__xludf.DUMMYFUNCTION("if(isblank(A3466),,split(A3466,""-""))"),"")</f>
        <v/>
      </c>
      <c r="K3466" s="13" t="str">
        <f>IFERROR(__xludf.DUMMYFUNCTION("if(isblank(B3466),,split(B3466,""-""))"),"")</f>
        <v/>
      </c>
    </row>
    <row r="3467">
      <c r="A3467" s="132"/>
      <c r="B3467" s="41"/>
      <c r="C3467" s="9"/>
      <c r="D3467" s="133"/>
      <c r="E3467" s="133"/>
      <c r="F3467" s="24"/>
      <c r="G3467" s="24"/>
      <c r="I3467" s="13" t="str">
        <f>IFERROR(__xludf.DUMMYFUNCTION("if(isblank(A3467),,split(A3467,""-""))"),"")</f>
        <v/>
      </c>
      <c r="K3467" s="13" t="str">
        <f>IFERROR(__xludf.DUMMYFUNCTION("if(isblank(B3467),,split(B3467,""-""))"),"")</f>
        <v/>
      </c>
    </row>
    <row r="3468">
      <c r="A3468" s="132"/>
      <c r="B3468" s="41"/>
      <c r="C3468" s="9"/>
      <c r="D3468" s="133"/>
      <c r="E3468" s="133"/>
      <c r="F3468" s="24"/>
      <c r="G3468" s="24"/>
      <c r="I3468" s="13" t="str">
        <f>IFERROR(__xludf.DUMMYFUNCTION("if(isblank(A3468),,split(A3468,""-""))"),"")</f>
        <v/>
      </c>
      <c r="K3468" s="13" t="str">
        <f>IFERROR(__xludf.DUMMYFUNCTION("if(isblank(B3468),,split(B3468,""-""))"),"")</f>
        <v/>
      </c>
    </row>
    <row r="3469">
      <c r="A3469" s="132"/>
      <c r="B3469" s="41"/>
      <c r="C3469" s="9"/>
      <c r="D3469" s="133"/>
      <c r="E3469" s="133"/>
      <c r="F3469" s="24"/>
      <c r="G3469" s="24"/>
      <c r="I3469" s="13" t="str">
        <f>IFERROR(__xludf.DUMMYFUNCTION("if(isblank(A3469),,split(A3469,""-""))"),"")</f>
        <v/>
      </c>
      <c r="K3469" s="13" t="str">
        <f>IFERROR(__xludf.DUMMYFUNCTION("if(isblank(B3469),,split(B3469,""-""))"),"")</f>
        <v/>
      </c>
    </row>
    <row r="3470">
      <c r="A3470" s="132"/>
      <c r="B3470" s="41"/>
      <c r="C3470" s="9"/>
      <c r="D3470" s="133"/>
      <c r="E3470" s="133"/>
      <c r="F3470" s="24"/>
      <c r="G3470" s="24"/>
      <c r="I3470" s="13" t="str">
        <f>IFERROR(__xludf.DUMMYFUNCTION("if(isblank(A3470),,split(A3470,""-""))"),"")</f>
        <v/>
      </c>
      <c r="K3470" s="13" t="str">
        <f>IFERROR(__xludf.DUMMYFUNCTION("if(isblank(B3470),,split(B3470,""-""))"),"")</f>
        <v/>
      </c>
    </row>
    <row r="3471">
      <c r="A3471" s="132"/>
      <c r="B3471" s="41"/>
      <c r="C3471" s="9"/>
      <c r="D3471" s="133"/>
      <c r="E3471" s="133"/>
      <c r="F3471" s="24"/>
      <c r="G3471" s="24"/>
      <c r="I3471" s="13" t="str">
        <f>IFERROR(__xludf.DUMMYFUNCTION("if(isblank(A3471),,split(A3471,""-""))"),"")</f>
        <v/>
      </c>
      <c r="K3471" s="13" t="str">
        <f>IFERROR(__xludf.DUMMYFUNCTION("if(isblank(B3471),,split(B3471,""-""))"),"")</f>
        <v/>
      </c>
    </row>
    <row r="3472">
      <c r="A3472" s="132"/>
      <c r="B3472" s="41"/>
      <c r="C3472" s="9"/>
      <c r="D3472" s="133"/>
      <c r="E3472" s="133"/>
      <c r="F3472" s="24"/>
      <c r="G3472" s="24"/>
      <c r="I3472" s="13" t="str">
        <f>IFERROR(__xludf.DUMMYFUNCTION("if(isblank(A3472),,split(A3472,""-""))"),"")</f>
        <v/>
      </c>
      <c r="K3472" s="13" t="str">
        <f>IFERROR(__xludf.DUMMYFUNCTION("if(isblank(B3472),,split(B3472,""-""))"),"")</f>
        <v/>
      </c>
    </row>
    <row r="3473">
      <c r="A3473" s="132"/>
      <c r="B3473" s="41"/>
      <c r="C3473" s="9"/>
      <c r="D3473" s="133"/>
      <c r="E3473" s="133"/>
      <c r="F3473" s="24"/>
      <c r="G3473" s="24"/>
      <c r="I3473" s="13" t="str">
        <f>IFERROR(__xludf.DUMMYFUNCTION("if(isblank(A3473),,split(A3473,""-""))"),"")</f>
        <v/>
      </c>
      <c r="K3473" s="13" t="str">
        <f>IFERROR(__xludf.DUMMYFUNCTION("if(isblank(B3473),,split(B3473,""-""))"),"")</f>
        <v/>
      </c>
    </row>
    <row r="3474">
      <c r="A3474" s="132"/>
      <c r="B3474" s="41"/>
      <c r="C3474" s="9"/>
      <c r="D3474" s="133"/>
      <c r="E3474" s="133"/>
      <c r="F3474" s="24"/>
      <c r="G3474" s="24"/>
      <c r="I3474" s="13" t="str">
        <f>IFERROR(__xludf.DUMMYFUNCTION("if(isblank(A3474),,split(A3474,""-""))"),"")</f>
        <v/>
      </c>
      <c r="K3474" s="13" t="str">
        <f>IFERROR(__xludf.DUMMYFUNCTION("if(isblank(B3474),,split(B3474,""-""))"),"")</f>
        <v/>
      </c>
    </row>
    <row r="3475">
      <c r="A3475" s="132"/>
      <c r="B3475" s="41"/>
      <c r="C3475" s="9"/>
      <c r="D3475" s="133"/>
      <c r="E3475" s="133"/>
      <c r="F3475" s="24"/>
      <c r="G3475" s="24"/>
      <c r="I3475" s="13" t="str">
        <f>IFERROR(__xludf.DUMMYFUNCTION("if(isblank(A3475),,split(A3475,""-""))"),"")</f>
        <v/>
      </c>
      <c r="K3475" s="13" t="str">
        <f>IFERROR(__xludf.DUMMYFUNCTION("if(isblank(B3475),,split(B3475,""-""))"),"")</f>
        <v/>
      </c>
    </row>
    <row r="3476">
      <c r="A3476" s="132"/>
      <c r="B3476" s="41"/>
      <c r="C3476" s="9"/>
      <c r="D3476" s="133"/>
      <c r="E3476" s="133"/>
      <c r="F3476" s="24"/>
      <c r="G3476" s="24"/>
      <c r="I3476" s="13" t="str">
        <f>IFERROR(__xludf.DUMMYFUNCTION("if(isblank(A3476),,split(A3476,""-""))"),"")</f>
        <v/>
      </c>
      <c r="K3476" s="13" t="str">
        <f>IFERROR(__xludf.DUMMYFUNCTION("if(isblank(B3476),,split(B3476,""-""))"),"")</f>
        <v/>
      </c>
    </row>
    <row r="3477">
      <c r="A3477" s="132"/>
      <c r="B3477" s="41"/>
      <c r="C3477" s="9"/>
      <c r="D3477" s="133"/>
      <c r="E3477" s="133"/>
      <c r="F3477" s="24"/>
      <c r="G3477" s="24"/>
      <c r="I3477" s="13" t="str">
        <f>IFERROR(__xludf.DUMMYFUNCTION("if(isblank(A3477),,split(A3477,""-""))"),"")</f>
        <v/>
      </c>
      <c r="K3477" s="13" t="str">
        <f>IFERROR(__xludf.DUMMYFUNCTION("if(isblank(B3477),,split(B3477,""-""))"),"")</f>
        <v/>
      </c>
    </row>
    <row r="3478">
      <c r="A3478" s="132"/>
      <c r="B3478" s="41"/>
      <c r="C3478" s="9"/>
      <c r="D3478" s="133"/>
      <c r="E3478" s="133"/>
      <c r="F3478" s="24"/>
      <c r="G3478" s="24"/>
      <c r="I3478" s="13" t="str">
        <f>IFERROR(__xludf.DUMMYFUNCTION("if(isblank(A3478),,split(A3478,""-""))"),"")</f>
        <v/>
      </c>
      <c r="K3478" s="13" t="str">
        <f>IFERROR(__xludf.DUMMYFUNCTION("if(isblank(B3478),,split(B3478,""-""))"),"")</f>
        <v/>
      </c>
    </row>
    <row r="3479">
      <c r="A3479" s="132"/>
      <c r="B3479" s="41"/>
      <c r="C3479" s="9"/>
      <c r="D3479" s="133"/>
      <c r="E3479" s="133"/>
      <c r="F3479" s="24"/>
      <c r="G3479" s="24"/>
      <c r="I3479" s="13" t="str">
        <f>IFERROR(__xludf.DUMMYFUNCTION("if(isblank(A3479),,split(A3479,""-""))"),"")</f>
        <v/>
      </c>
      <c r="K3479" s="13" t="str">
        <f>IFERROR(__xludf.DUMMYFUNCTION("if(isblank(B3479),,split(B3479,""-""))"),"")</f>
        <v/>
      </c>
    </row>
    <row r="3480">
      <c r="A3480" s="132"/>
      <c r="B3480" s="41"/>
      <c r="C3480" s="9"/>
      <c r="D3480" s="133"/>
      <c r="E3480" s="133"/>
      <c r="F3480" s="24"/>
      <c r="G3480" s="24"/>
      <c r="I3480" s="13" t="str">
        <f>IFERROR(__xludf.DUMMYFUNCTION("if(isblank(A3480),,split(A3480,""-""))"),"")</f>
        <v/>
      </c>
      <c r="K3480" s="13" t="str">
        <f>IFERROR(__xludf.DUMMYFUNCTION("if(isblank(B3480),,split(B3480,""-""))"),"")</f>
        <v/>
      </c>
    </row>
    <row r="3481">
      <c r="A3481" s="132"/>
      <c r="B3481" s="41"/>
      <c r="C3481" s="9"/>
      <c r="D3481" s="133"/>
      <c r="E3481" s="133"/>
      <c r="F3481" s="24"/>
      <c r="G3481" s="24"/>
      <c r="I3481" s="13" t="str">
        <f>IFERROR(__xludf.DUMMYFUNCTION("if(isblank(A3481),,split(A3481,""-""))"),"")</f>
        <v/>
      </c>
      <c r="K3481" s="13" t="str">
        <f>IFERROR(__xludf.DUMMYFUNCTION("if(isblank(B3481),,split(B3481,""-""))"),"")</f>
        <v/>
      </c>
    </row>
    <row r="3482">
      <c r="A3482" s="132"/>
      <c r="B3482" s="41"/>
      <c r="C3482" s="9"/>
      <c r="D3482" s="133"/>
      <c r="E3482" s="133"/>
      <c r="F3482" s="24"/>
      <c r="G3482" s="24"/>
      <c r="I3482" s="13" t="str">
        <f>IFERROR(__xludf.DUMMYFUNCTION("if(isblank(A3482),,split(A3482,""-""))"),"")</f>
        <v/>
      </c>
      <c r="K3482" s="13" t="str">
        <f>IFERROR(__xludf.DUMMYFUNCTION("if(isblank(B3482),,split(B3482,""-""))"),"")</f>
        <v/>
      </c>
    </row>
    <row r="3483">
      <c r="A3483" s="132"/>
      <c r="B3483" s="41"/>
      <c r="C3483" s="9"/>
      <c r="D3483" s="133"/>
      <c r="E3483" s="133"/>
      <c r="F3483" s="24"/>
      <c r="G3483" s="24"/>
      <c r="I3483" s="13" t="str">
        <f>IFERROR(__xludf.DUMMYFUNCTION("if(isblank(A3483),,split(A3483,""-""))"),"")</f>
        <v/>
      </c>
      <c r="K3483" s="13" t="str">
        <f>IFERROR(__xludf.DUMMYFUNCTION("if(isblank(B3483),,split(B3483,""-""))"),"")</f>
        <v/>
      </c>
    </row>
    <row r="3484">
      <c r="A3484" s="132"/>
      <c r="B3484" s="41"/>
      <c r="C3484" s="9"/>
      <c r="D3484" s="133"/>
      <c r="E3484" s="133"/>
      <c r="F3484" s="24"/>
      <c r="G3484" s="24"/>
      <c r="I3484" s="13" t="str">
        <f>IFERROR(__xludf.DUMMYFUNCTION("if(isblank(A3484),,split(A3484,""-""))"),"")</f>
        <v/>
      </c>
      <c r="K3484" s="13" t="str">
        <f>IFERROR(__xludf.DUMMYFUNCTION("if(isblank(B3484),,split(B3484,""-""))"),"")</f>
        <v/>
      </c>
    </row>
    <row r="3485">
      <c r="A3485" s="132"/>
      <c r="B3485" s="41"/>
      <c r="C3485" s="9"/>
      <c r="D3485" s="133"/>
      <c r="E3485" s="133"/>
      <c r="F3485" s="24"/>
      <c r="G3485" s="24"/>
      <c r="I3485" s="13" t="str">
        <f>IFERROR(__xludf.DUMMYFUNCTION("if(isblank(A3485),,split(A3485,""-""))"),"")</f>
        <v/>
      </c>
      <c r="K3485" s="13" t="str">
        <f>IFERROR(__xludf.DUMMYFUNCTION("if(isblank(B3485),,split(B3485,""-""))"),"")</f>
        <v/>
      </c>
    </row>
    <row r="3486">
      <c r="A3486" s="132"/>
      <c r="B3486" s="41"/>
      <c r="C3486" s="9"/>
      <c r="D3486" s="133"/>
      <c r="E3486" s="133"/>
      <c r="F3486" s="24"/>
      <c r="G3486" s="24"/>
      <c r="I3486" s="13" t="str">
        <f>IFERROR(__xludf.DUMMYFUNCTION("if(isblank(A3486),,split(A3486,""-""))"),"")</f>
        <v/>
      </c>
      <c r="K3486" s="13" t="str">
        <f>IFERROR(__xludf.DUMMYFUNCTION("if(isblank(B3486),,split(B3486,""-""))"),"")</f>
        <v/>
      </c>
    </row>
    <row r="3487">
      <c r="A3487" s="132"/>
      <c r="B3487" s="41"/>
      <c r="C3487" s="9"/>
      <c r="D3487" s="133"/>
      <c r="E3487" s="133"/>
      <c r="F3487" s="24"/>
      <c r="G3487" s="24"/>
      <c r="I3487" s="13" t="str">
        <f>IFERROR(__xludf.DUMMYFUNCTION("if(isblank(A3487),,split(A3487,""-""))"),"")</f>
        <v/>
      </c>
      <c r="K3487" s="13" t="str">
        <f>IFERROR(__xludf.DUMMYFUNCTION("if(isblank(B3487),,split(B3487,""-""))"),"")</f>
        <v/>
      </c>
    </row>
    <row r="3488">
      <c r="A3488" s="132"/>
      <c r="B3488" s="41"/>
      <c r="C3488" s="9"/>
      <c r="D3488" s="133"/>
      <c r="E3488" s="133"/>
      <c r="F3488" s="24"/>
      <c r="G3488" s="24"/>
      <c r="I3488" s="13" t="str">
        <f>IFERROR(__xludf.DUMMYFUNCTION("if(isblank(A3488),,split(A3488,""-""))"),"")</f>
        <v/>
      </c>
      <c r="K3488" s="13" t="str">
        <f>IFERROR(__xludf.DUMMYFUNCTION("if(isblank(B3488),,split(B3488,""-""))"),"")</f>
        <v/>
      </c>
    </row>
    <row r="3489">
      <c r="A3489" s="132"/>
      <c r="B3489" s="41"/>
      <c r="C3489" s="9"/>
      <c r="D3489" s="133"/>
      <c r="E3489" s="133"/>
      <c r="F3489" s="24"/>
      <c r="G3489" s="24"/>
      <c r="I3489" s="13" t="str">
        <f>IFERROR(__xludf.DUMMYFUNCTION("if(isblank(A3489),,split(A3489,""-""))"),"")</f>
        <v/>
      </c>
      <c r="K3489" s="13" t="str">
        <f>IFERROR(__xludf.DUMMYFUNCTION("if(isblank(B3489),,split(B3489,""-""))"),"")</f>
        <v/>
      </c>
    </row>
    <row r="3490">
      <c r="A3490" s="132"/>
      <c r="B3490" s="41"/>
      <c r="C3490" s="9"/>
      <c r="D3490" s="133"/>
      <c r="E3490" s="133"/>
      <c r="F3490" s="24"/>
      <c r="G3490" s="24"/>
      <c r="I3490" s="13" t="str">
        <f>IFERROR(__xludf.DUMMYFUNCTION("if(isblank(A3490),,split(A3490,""-""))"),"")</f>
        <v/>
      </c>
      <c r="K3490" s="13" t="str">
        <f>IFERROR(__xludf.DUMMYFUNCTION("if(isblank(B3490),,split(B3490,""-""))"),"")</f>
        <v/>
      </c>
    </row>
    <row r="3491">
      <c r="A3491" s="132"/>
      <c r="B3491" s="41"/>
      <c r="C3491" s="9"/>
      <c r="D3491" s="133"/>
      <c r="E3491" s="133"/>
      <c r="F3491" s="24"/>
      <c r="G3491" s="24"/>
      <c r="I3491" s="13" t="str">
        <f>IFERROR(__xludf.DUMMYFUNCTION("if(isblank(A3491),,split(A3491,""-""))"),"")</f>
        <v/>
      </c>
      <c r="K3491" s="13" t="str">
        <f>IFERROR(__xludf.DUMMYFUNCTION("if(isblank(B3491),,split(B3491,""-""))"),"")</f>
        <v/>
      </c>
    </row>
    <row r="3492">
      <c r="A3492" s="132"/>
      <c r="B3492" s="41"/>
      <c r="C3492" s="9"/>
      <c r="D3492" s="133"/>
      <c r="E3492" s="133"/>
      <c r="F3492" s="24"/>
      <c r="G3492" s="24"/>
      <c r="I3492" s="13" t="str">
        <f>IFERROR(__xludf.DUMMYFUNCTION("if(isblank(A3492),,split(A3492,""-""))"),"")</f>
        <v/>
      </c>
      <c r="K3492" s="13" t="str">
        <f>IFERROR(__xludf.DUMMYFUNCTION("if(isblank(B3492),,split(B3492,""-""))"),"")</f>
        <v/>
      </c>
    </row>
    <row r="3493">
      <c r="A3493" s="132"/>
      <c r="B3493" s="41"/>
      <c r="C3493" s="9"/>
      <c r="D3493" s="133"/>
      <c r="E3493" s="133"/>
      <c r="F3493" s="24"/>
      <c r="G3493" s="24"/>
      <c r="I3493" s="13" t="str">
        <f>IFERROR(__xludf.DUMMYFUNCTION("if(isblank(A3493),,split(A3493,""-""))"),"")</f>
        <v/>
      </c>
      <c r="K3493" s="13" t="str">
        <f>IFERROR(__xludf.DUMMYFUNCTION("if(isblank(B3493),,split(B3493,""-""))"),"")</f>
        <v/>
      </c>
    </row>
    <row r="3494">
      <c r="A3494" s="132"/>
      <c r="B3494" s="41"/>
      <c r="C3494" s="9"/>
      <c r="D3494" s="133"/>
      <c r="E3494" s="133"/>
      <c r="F3494" s="24"/>
      <c r="G3494" s="24"/>
      <c r="I3494" s="13" t="str">
        <f>IFERROR(__xludf.DUMMYFUNCTION("if(isblank(A3494),,split(A3494,""-""))"),"")</f>
        <v/>
      </c>
      <c r="K3494" s="13" t="str">
        <f>IFERROR(__xludf.DUMMYFUNCTION("if(isblank(B3494),,split(B3494,""-""))"),"")</f>
        <v/>
      </c>
    </row>
    <row r="3495">
      <c r="A3495" s="132"/>
      <c r="B3495" s="41"/>
      <c r="C3495" s="9"/>
      <c r="D3495" s="133"/>
      <c r="E3495" s="133"/>
      <c r="F3495" s="24"/>
      <c r="G3495" s="24"/>
      <c r="I3495" s="13" t="str">
        <f>IFERROR(__xludf.DUMMYFUNCTION("if(isblank(A3495),,split(A3495,""-""))"),"")</f>
        <v/>
      </c>
      <c r="K3495" s="13" t="str">
        <f>IFERROR(__xludf.DUMMYFUNCTION("if(isblank(B3495),,split(B3495,""-""))"),"")</f>
        <v/>
      </c>
    </row>
    <row r="3496">
      <c r="A3496" s="132"/>
      <c r="B3496" s="41"/>
      <c r="C3496" s="9"/>
      <c r="D3496" s="133"/>
      <c r="E3496" s="133"/>
      <c r="F3496" s="24"/>
      <c r="G3496" s="24"/>
      <c r="I3496" s="13" t="str">
        <f>IFERROR(__xludf.DUMMYFUNCTION("if(isblank(A3496),,split(A3496,""-""))"),"")</f>
        <v/>
      </c>
      <c r="K3496" s="13" t="str">
        <f>IFERROR(__xludf.DUMMYFUNCTION("if(isblank(B3496),,split(B3496,""-""))"),"")</f>
        <v/>
      </c>
    </row>
    <row r="3497">
      <c r="A3497" s="132"/>
      <c r="B3497" s="41"/>
      <c r="C3497" s="9"/>
      <c r="D3497" s="133"/>
      <c r="E3497" s="133"/>
      <c r="F3497" s="24"/>
      <c r="G3497" s="24"/>
      <c r="I3497" s="13" t="str">
        <f>IFERROR(__xludf.DUMMYFUNCTION("if(isblank(A3497),,split(A3497,""-""))"),"")</f>
        <v/>
      </c>
      <c r="K3497" s="13" t="str">
        <f>IFERROR(__xludf.DUMMYFUNCTION("if(isblank(B3497),,split(B3497,""-""))"),"")</f>
        <v/>
      </c>
    </row>
    <row r="3498">
      <c r="A3498" s="132"/>
      <c r="B3498" s="41"/>
      <c r="C3498" s="9"/>
      <c r="D3498" s="133"/>
      <c r="E3498" s="133"/>
      <c r="F3498" s="24"/>
      <c r="G3498" s="24"/>
      <c r="I3498" s="13" t="str">
        <f>IFERROR(__xludf.DUMMYFUNCTION("if(isblank(A3498),,split(A3498,""-""))"),"")</f>
        <v/>
      </c>
      <c r="K3498" s="13" t="str">
        <f>IFERROR(__xludf.DUMMYFUNCTION("if(isblank(B3498),,split(B3498,""-""))"),"")</f>
        <v/>
      </c>
    </row>
    <row r="3499">
      <c r="A3499" s="132"/>
      <c r="B3499" s="41"/>
      <c r="C3499" s="9"/>
      <c r="D3499" s="133"/>
      <c r="E3499" s="133"/>
      <c r="F3499" s="24"/>
      <c r="G3499" s="24"/>
      <c r="I3499" s="13" t="str">
        <f>IFERROR(__xludf.DUMMYFUNCTION("if(isblank(A3499),,split(A3499,""-""))"),"")</f>
        <v/>
      </c>
      <c r="K3499" s="13" t="str">
        <f>IFERROR(__xludf.DUMMYFUNCTION("if(isblank(B3499),,split(B3499,""-""))"),"")</f>
        <v/>
      </c>
    </row>
    <row r="3500">
      <c r="A3500" s="132"/>
      <c r="B3500" s="41"/>
      <c r="C3500" s="9"/>
      <c r="D3500" s="133"/>
      <c r="E3500" s="133"/>
      <c r="F3500" s="24"/>
      <c r="G3500" s="24"/>
      <c r="I3500" s="13" t="str">
        <f>IFERROR(__xludf.DUMMYFUNCTION("if(isblank(A3500),,split(A3500,""-""))"),"")</f>
        <v/>
      </c>
      <c r="K3500" s="13" t="str">
        <f>IFERROR(__xludf.DUMMYFUNCTION("if(isblank(B3500),,split(B3500,""-""))"),"")</f>
        <v/>
      </c>
    </row>
    <row r="3501">
      <c r="A3501" s="132"/>
      <c r="B3501" s="41"/>
      <c r="C3501" s="9"/>
      <c r="D3501" s="133"/>
      <c r="E3501" s="133"/>
      <c r="F3501" s="24"/>
      <c r="G3501" s="24"/>
      <c r="I3501" s="13" t="str">
        <f>IFERROR(__xludf.DUMMYFUNCTION("if(isblank(A3501),,split(A3501,""-""))"),"")</f>
        <v/>
      </c>
      <c r="K3501" s="13" t="str">
        <f>IFERROR(__xludf.DUMMYFUNCTION("if(isblank(B3501),,split(B3501,""-""))"),"")</f>
        <v/>
      </c>
    </row>
    <row r="3502">
      <c r="A3502" s="132"/>
      <c r="B3502" s="41"/>
      <c r="C3502" s="9"/>
      <c r="D3502" s="133"/>
      <c r="E3502" s="133"/>
      <c r="F3502" s="24"/>
      <c r="G3502" s="24"/>
      <c r="I3502" s="13" t="str">
        <f>IFERROR(__xludf.DUMMYFUNCTION("if(isblank(A3502),,split(A3502,""-""))"),"")</f>
        <v/>
      </c>
      <c r="K3502" s="13" t="str">
        <f>IFERROR(__xludf.DUMMYFUNCTION("if(isblank(B3502),,split(B3502,""-""))"),"")</f>
        <v/>
      </c>
    </row>
    <row r="3503">
      <c r="A3503" s="132"/>
      <c r="B3503" s="41"/>
      <c r="C3503" s="9"/>
      <c r="D3503" s="133"/>
      <c r="E3503" s="133"/>
      <c r="F3503" s="24"/>
      <c r="G3503" s="24"/>
      <c r="I3503" s="13" t="str">
        <f>IFERROR(__xludf.DUMMYFUNCTION("if(isblank(A3503),,split(A3503,""-""))"),"")</f>
        <v/>
      </c>
      <c r="K3503" s="13" t="str">
        <f>IFERROR(__xludf.DUMMYFUNCTION("if(isblank(B3503),,split(B3503,""-""))"),"")</f>
        <v/>
      </c>
    </row>
    <row r="3504">
      <c r="A3504" s="132"/>
      <c r="B3504" s="41"/>
      <c r="C3504" s="9"/>
      <c r="D3504" s="133"/>
      <c r="E3504" s="133"/>
      <c r="F3504" s="24"/>
      <c r="G3504" s="24"/>
      <c r="I3504" s="13" t="str">
        <f>IFERROR(__xludf.DUMMYFUNCTION("if(isblank(A3504),,split(A3504,""-""))"),"")</f>
        <v/>
      </c>
      <c r="K3504" s="13" t="str">
        <f>IFERROR(__xludf.DUMMYFUNCTION("if(isblank(B3504),,split(B3504,""-""))"),"")</f>
        <v/>
      </c>
    </row>
    <row r="3505">
      <c r="A3505" s="132"/>
      <c r="B3505" s="41"/>
      <c r="C3505" s="9"/>
      <c r="D3505" s="133"/>
      <c r="E3505" s="133"/>
      <c r="F3505" s="24"/>
      <c r="G3505" s="24"/>
      <c r="I3505" s="13" t="str">
        <f>IFERROR(__xludf.DUMMYFUNCTION("if(isblank(A3505),,split(A3505,""-""))"),"")</f>
        <v/>
      </c>
      <c r="K3505" s="13" t="str">
        <f>IFERROR(__xludf.DUMMYFUNCTION("if(isblank(B3505),,split(B3505,""-""))"),"")</f>
        <v/>
      </c>
    </row>
    <row r="3506">
      <c r="A3506" s="132"/>
      <c r="B3506" s="41"/>
      <c r="C3506" s="9"/>
      <c r="D3506" s="133"/>
      <c r="E3506" s="133"/>
      <c r="F3506" s="24"/>
      <c r="G3506" s="24"/>
      <c r="I3506" s="13" t="str">
        <f>IFERROR(__xludf.DUMMYFUNCTION("if(isblank(A3506),,split(A3506,""-""))"),"")</f>
        <v/>
      </c>
      <c r="K3506" s="13" t="str">
        <f>IFERROR(__xludf.DUMMYFUNCTION("if(isblank(B3506),,split(B3506,""-""))"),"")</f>
        <v/>
      </c>
    </row>
    <row r="3507">
      <c r="A3507" s="132"/>
      <c r="B3507" s="41"/>
      <c r="C3507" s="9"/>
      <c r="D3507" s="133"/>
      <c r="E3507" s="133"/>
      <c r="F3507" s="24"/>
      <c r="G3507" s="24"/>
      <c r="I3507" s="13" t="str">
        <f>IFERROR(__xludf.DUMMYFUNCTION("if(isblank(A3507),,split(A3507,""-""))"),"")</f>
        <v/>
      </c>
      <c r="K3507" s="13" t="str">
        <f>IFERROR(__xludf.DUMMYFUNCTION("if(isblank(B3507),,split(B3507,""-""))"),"")</f>
        <v/>
      </c>
    </row>
    <row r="3508">
      <c r="A3508" s="132"/>
      <c r="B3508" s="41"/>
      <c r="C3508" s="9"/>
      <c r="D3508" s="133"/>
      <c r="E3508" s="133"/>
      <c r="F3508" s="24"/>
      <c r="G3508" s="24"/>
      <c r="I3508" s="13" t="str">
        <f>IFERROR(__xludf.DUMMYFUNCTION("if(isblank(A3508),,split(A3508,""-""))"),"")</f>
        <v/>
      </c>
      <c r="K3508" s="13" t="str">
        <f>IFERROR(__xludf.DUMMYFUNCTION("if(isblank(B3508),,split(B3508,""-""))"),"")</f>
        <v/>
      </c>
    </row>
    <row r="3509">
      <c r="A3509" s="132"/>
      <c r="B3509" s="41"/>
      <c r="C3509" s="9"/>
      <c r="D3509" s="133"/>
      <c r="E3509" s="133"/>
      <c r="F3509" s="24"/>
      <c r="G3509" s="24"/>
      <c r="I3509" s="13" t="str">
        <f>IFERROR(__xludf.DUMMYFUNCTION("if(isblank(A3509),,split(A3509,""-""))"),"")</f>
        <v/>
      </c>
      <c r="K3509" s="13" t="str">
        <f>IFERROR(__xludf.DUMMYFUNCTION("if(isblank(B3509),,split(B3509,""-""))"),"")</f>
        <v/>
      </c>
    </row>
    <row r="3510">
      <c r="A3510" s="132"/>
      <c r="B3510" s="41"/>
      <c r="C3510" s="9"/>
      <c r="D3510" s="133"/>
      <c r="E3510" s="133"/>
      <c r="F3510" s="24"/>
      <c r="G3510" s="24"/>
      <c r="I3510" s="13" t="str">
        <f>IFERROR(__xludf.DUMMYFUNCTION("if(isblank(A3510),,split(A3510,""-""))"),"")</f>
        <v/>
      </c>
      <c r="K3510" s="13" t="str">
        <f>IFERROR(__xludf.DUMMYFUNCTION("if(isblank(B3510),,split(B3510,""-""))"),"")</f>
        <v/>
      </c>
    </row>
    <row r="3511">
      <c r="A3511" s="132"/>
      <c r="B3511" s="41"/>
      <c r="C3511" s="9"/>
      <c r="D3511" s="133"/>
      <c r="E3511" s="133"/>
      <c r="F3511" s="24"/>
      <c r="G3511" s="24"/>
      <c r="I3511" s="13" t="str">
        <f>IFERROR(__xludf.DUMMYFUNCTION("if(isblank(A3511),,split(A3511,""-""))"),"")</f>
        <v/>
      </c>
      <c r="K3511" s="13" t="str">
        <f>IFERROR(__xludf.DUMMYFUNCTION("if(isblank(B3511),,split(B3511,""-""))"),"")</f>
        <v/>
      </c>
    </row>
    <row r="3512">
      <c r="A3512" s="132"/>
      <c r="B3512" s="41"/>
      <c r="C3512" s="9"/>
      <c r="D3512" s="133"/>
      <c r="E3512" s="133"/>
      <c r="F3512" s="24"/>
      <c r="G3512" s="24"/>
      <c r="I3512" s="13" t="str">
        <f>IFERROR(__xludf.DUMMYFUNCTION("if(isblank(A3512),,split(A3512,""-""))"),"")</f>
        <v/>
      </c>
      <c r="K3512" s="13" t="str">
        <f>IFERROR(__xludf.DUMMYFUNCTION("if(isblank(B3512),,split(B3512,""-""))"),"")</f>
        <v/>
      </c>
    </row>
    <row r="3513">
      <c r="A3513" s="132"/>
      <c r="B3513" s="41"/>
      <c r="C3513" s="9"/>
      <c r="D3513" s="133"/>
      <c r="E3513" s="133"/>
      <c r="F3513" s="24"/>
      <c r="G3513" s="24"/>
      <c r="I3513" s="13" t="str">
        <f>IFERROR(__xludf.DUMMYFUNCTION("if(isblank(A3513),,split(A3513,""-""))"),"")</f>
        <v/>
      </c>
      <c r="K3513" s="13" t="str">
        <f>IFERROR(__xludf.DUMMYFUNCTION("if(isblank(B3513),,split(B3513,""-""))"),"")</f>
        <v/>
      </c>
    </row>
    <row r="3514">
      <c r="A3514" s="132"/>
      <c r="B3514" s="41"/>
      <c r="C3514" s="9"/>
      <c r="D3514" s="133"/>
      <c r="E3514" s="133"/>
      <c r="F3514" s="24"/>
      <c r="G3514" s="24"/>
      <c r="I3514" s="13" t="str">
        <f>IFERROR(__xludf.DUMMYFUNCTION("if(isblank(A3514),,split(A3514,""-""))"),"")</f>
        <v/>
      </c>
      <c r="K3514" s="13" t="str">
        <f>IFERROR(__xludf.DUMMYFUNCTION("if(isblank(B3514),,split(B3514,""-""))"),"")</f>
        <v/>
      </c>
    </row>
    <row r="3515">
      <c r="A3515" s="132"/>
      <c r="B3515" s="41"/>
      <c r="C3515" s="9"/>
      <c r="D3515" s="133"/>
      <c r="E3515" s="133"/>
      <c r="F3515" s="24"/>
      <c r="G3515" s="24"/>
      <c r="I3515" s="13" t="str">
        <f>IFERROR(__xludf.DUMMYFUNCTION("if(isblank(A3515),,split(A3515,""-""))"),"")</f>
        <v/>
      </c>
      <c r="K3515" s="13" t="str">
        <f>IFERROR(__xludf.DUMMYFUNCTION("if(isblank(B3515),,split(B3515,""-""))"),"")</f>
        <v/>
      </c>
    </row>
    <row r="3516">
      <c r="A3516" s="132"/>
      <c r="B3516" s="41"/>
      <c r="C3516" s="9"/>
      <c r="D3516" s="133"/>
      <c r="E3516" s="133"/>
      <c r="F3516" s="24"/>
      <c r="G3516" s="24"/>
      <c r="I3516" s="13" t="str">
        <f>IFERROR(__xludf.DUMMYFUNCTION("if(isblank(A3516),,split(A3516,""-""))"),"")</f>
        <v/>
      </c>
      <c r="K3516" s="13" t="str">
        <f>IFERROR(__xludf.DUMMYFUNCTION("if(isblank(B3516),,split(B3516,""-""))"),"")</f>
        <v/>
      </c>
    </row>
    <row r="3517">
      <c r="A3517" s="132"/>
      <c r="B3517" s="41"/>
      <c r="C3517" s="9"/>
      <c r="D3517" s="133"/>
      <c r="E3517" s="133"/>
      <c r="F3517" s="24"/>
      <c r="G3517" s="24"/>
      <c r="I3517" s="13" t="str">
        <f>IFERROR(__xludf.DUMMYFUNCTION("if(isblank(A3517),,split(A3517,""-""))"),"")</f>
        <v/>
      </c>
      <c r="K3517" s="13" t="str">
        <f>IFERROR(__xludf.DUMMYFUNCTION("if(isblank(B3517),,split(B3517,""-""))"),"")</f>
        <v/>
      </c>
    </row>
    <row r="3518">
      <c r="A3518" s="132"/>
      <c r="B3518" s="41"/>
      <c r="C3518" s="9"/>
      <c r="D3518" s="133"/>
      <c r="E3518" s="133"/>
      <c r="F3518" s="24"/>
      <c r="G3518" s="24"/>
      <c r="I3518" s="13" t="str">
        <f>IFERROR(__xludf.DUMMYFUNCTION("if(isblank(A3518),,split(A3518,""-""))"),"")</f>
        <v/>
      </c>
      <c r="K3518" s="13" t="str">
        <f>IFERROR(__xludf.DUMMYFUNCTION("if(isblank(B3518),,split(B3518,""-""))"),"")</f>
        <v/>
      </c>
    </row>
    <row r="3519">
      <c r="A3519" s="132"/>
      <c r="B3519" s="41"/>
      <c r="C3519" s="9"/>
      <c r="D3519" s="133"/>
      <c r="E3519" s="133"/>
      <c r="F3519" s="24"/>
      <c r="G3519" s="24"/>
      <c r="I3519" s="13" t="str">
        <f>IFERROR(__xludf.DUMMYFUNCTION("if(isblank(A3519),,split(A3519,""-""))"),"")</f>
        <v/>
      </c>
      <c r="K3519" s="13" t="str">
        <f>IFERROR(__xludf.DUMMYFUNCTION("if(isblank(B3519),,split(B3519,""-""))"),"")</f>
        <v/>
      </c>
    </row>
    <row r="3520">
      <c r="A3520" s="132"/>
      <c r="B3520" s="41"/>
      <c r="C3520" s="9"/>
      <c r="D3520" s="133"/>
      <c r="E3520" s="133"/>
      <c r="F3520" s="24"/>
      <c r="G3520" s="24"/>
      <c r="I3520" s="13" t="str">
        <f>IFERROR(__xludf.DUMMYFUNCTION("if(isblank(A3520),,split(A3520,""-""))"),"")</f>
        <v/>
      </c>
      <c r="K3520" s="13" t="str">
        <f>IFERROR(__xludf.DUMMYFUNCTION("if(isblank(B3520),,split(B3520,""-""))"),"")</f>
        <v/>
      </c>
    </row>
    <row r="3521">
      <c r="A3521" s="132"/>
      <c r="B3521" s="41"/>
      <c r="C3521" s="9"/>
      <c r="D3521" s="133"/>
      <c r="E3521" s="133"/>
      <c r="F3521" s="24"/>
      <c r="G3521" s="24"/>
      <c r="I3521" s="13" t="str">
        <f>IFERROR(__xludf.DUMMYFUNCTION("if(isblank(A3521),,split(A3521,""-""))"),"")</f>
        <v/>
      </c>
      <c r="K3521" s="13" t="str">
        <f>IFERROR(__xludf.DUMMYFUNCTION("if(isblank(B3521),,split(B3521,""-""))"),"")</f>
        <v/>
      </c>
    </row>
    <row r="3522">
      <c r="A3522" s="132"/>
      <c r="B3522" s="41"/>
      <c r="C3522" s="9"/>
      <c r="D3522" s="133"/>
      <c r="E3522" s="133"/>
      <c r="F3522" s="24"/>
      <c r="G3522" s="24"/>
      <c r="I3522" s="13" t="str">
        <f>IFERROR(__xludf.DUMMYFUNCTION("if(isblank(A3522),,split(A3522,""-""))"),"")</f>
        <v/>
      </c>
      <c r="K3522" s="13" t="str">
        <f>IFERROR(__xludf.DUMMYFUNCTION("if(isblank(B3522),,split(B3522,""-""))"),"")</f>
        <v/>
      </c>
    </row>
    <row r="3523">
      <c r="A3523" s="132"/>
      <c r="B3523" s="41"/>
      <c r="C3523" s="9"/>
      <c r="D3523" s="133"/>
      <c r="E3523" s="133"/>
      <c r="F3523" s="24"/>
      <c r="G3523" s="24"/>
      <c r="I3523" s="13" t="str">
        <f>IFERROR(__xludf.DUMMYFUNCTION("if(isblank(A3523),,split(A3523,""-""))"),"")</f>
        <v/>
      </c>
      <c r="K3523" s="13" t="str">
        <f>IFERROR(__xludf.DUMMYFUNCTION("if(isblank(B3523),,split(B3523,""-""))"),"")</f>
        <v/>
      </c>
    </row>
    <row r="3524">
      <c r="A3524" s="132"/>
      <c r="B3524" s="41"/>
      <c r="C3524" s="9"/>
      <c r="D3524" s="133"/>
      <c r="E3524" s="133"/>
      <c r="F3524" s="24"/>
      <c r="G3524" s="24"/>
      <c r="I3524" s="13" t="str">
        <f>IFERROR(__xludf.DUMMYFUNCTION("if(isblank(A3524),,split(A3524,""-""))"),"")</f>
        <v/>
      </c>
      <c r="K3524" s="13" t="str">
        <f>IFERROR(__xludf.DUMMYFUNCTION("if(isblank(B3524),,split(B3524,""-""))"),"")</f>
        <v/>
      </c>
    </row>
    <row r="3525">
      <c r="A3525" s="132"/>
      <c r="B3525" s="41"/>
      <c r="C3525" s="9"/>
      <c r="D3525" s="133"/>
      <c r="E3525" s="133"/>
      <c r="F3525" s="24"/>
      <c r="G3525" s="24"/>
      <c r="I3525" s="13" t="str">
        <f>IFERROR(__xludf.DUMMYFUNCTION("if(isblank(A3525),,split(A3525,""-""))"),"")</f>
        <v/>
      </c>
      <c r="K3525" s="13" t="str">
        <f>IFERROR(__xludf.DUMMYFUNCTION("if(isblank(B3525),,split(B3525,""-""))"),"")</f>
        <v/>
      </c>
    </row>
    <row r="3526">
      <c r="A3526" s="132"/>
      <c r="B3526" s="41"/>
      <c r="C3526" s="9"/>
      <c r="D3526" s="133"/>
      <c r="E3526" s="133"/>
      <c r="F3526" s="24"/>
      <c r="G3526" s="24"/>
      <c r="I3526" s="13" t="str">
        <f>IFERROR(__xludf.DUMMYFUNCTION("if(isblank(A3526),,split(A3526,""-""))"),"")</f>
        <v/>
      </c>
      <c r="K3526" s="13" t="str">
        <f>IFERROR(__xludf.DUMMYFUNCTION("if(isblank(B3526),,split(B3526,""-""))"),"")</f>
        <v/>
      </c>
    </row>
    <row r="3527">
      <c r="A3527" s="132"/>
      <c r="B3527" s="41"/>
      <c r="C3527" s="9"/>
      <c r="D3527" s="133"/>
      <c r="E3527" s="133"/>
      <c r="F3527" s="24"/>
      <c r="G3527" s="24"/>
      <c r="I3527" s="13" t="str">
        <f>IFERROR(__xludf.DUMMYFUNCTION("if(isblank(A3527),,split(A3527,""-""))"),"")</f>
        <v/>
      </c>
      <c r="K3527" s="13" t="str">
        <f>IFERROR(__xludf.DUMMYFUNCTION("if(isblank(B3527),,split(B3527,""-""))"),"")</f>
        <v/>
      </c>
    </row>
    <row r="3528">
      <c r="A3528" s="132"/>
      <c r="B3528" s="41"/>
      <c r="C3528" s="9"/>
      <c r="D3528" s="133"/>
      <c r="E3528" s="133"/>
      <c r="F3528" s="24"/>
      <c r="G3528" s="24"/>
      <c r="I3528" s="13" t="str">
        <f>IFERROR(__xludf.DUMMYFUNCTION("if(isblank(A3528),,split(A3528,""-""))"),"")</f>
        <v/>
      </c>
      <c r="K3528" s="13" t="str">
        <f>IFERROR(__xludf.DUMMYFUNCTION("if(isblank(B3528),,split(B3528,""-""))"),"")</f>
        <v/>
      </c>
    </row>
    <row r="3529">
      <c r="A3529" s="132"/>
      <c r="B3529" s="41"/>
      <c r="C3529" s="9"/>
      <c r="D3529" s="133"/>
      <c r="E3529" s="133"/>
      <c r="F3529" s="24"/>
      <c r="G3529" s="24"/>
      <c r="I3529" s="13" t="str">
        <f>IFERROR(__xludf.DUMMYFUNCTION("if(isblank(A3529),,split(A3529,""-""))"),"")</f>
        <v/>
      </c>
      <c r="K3529" s="13" t="str">
        <f>IFERROR(__xludf.DUMMYFUNCTION("if(isblank(B3529),,split(B3529,""-""))"),"")</f>
        <v/>
      </c>
    </row>
    <row r="3530">
      <c r="A3530" s="132"/>
      <c r="B3530" s="41"/>
      <c r="C3530" s="9"/>
      <c r="D3530" s="133"/>
      <c r="E3530" s="133"/>
      <c r="F3530" s="24"/>
      <c r="G3530" s="24"/>
      <c r="I3530" s="13" t="str">
        <f>IFERROR(__xludf.DUMMYFUNCTION("if(isblank(A3530),,split(A3530,""-""))"),"")</f>
        <v/>
      </c>
      <c r="K3530" s="13" t="str">
        <f>IFERROR(__xludf.DUMMYFUNCTION("if(isblank(B3530),,split(B3530,""-""))"),"")</f>
        <v/>
      </c>
    </row>
    <row r="3531">
      <c r="A3531" s="132"/>
      <c r="B3531" s="41"/>
      <c r="C3531" s="9"/>
      <c r="D3531" s="133"/>
      <c r="E3531" s="133"/>
      <c r="F3531" s="24"/>
      <c r="G3531" s="24"/>
      <c r="I3531" s="13" t="str">
        <f>IFERROR(__xludf.DUMMYFUNCTION("if(isblank(A3531),,split(A3531,""-""))"),"")</f>
        <v/>
      </c>
      <c r="K3531" s="13" t="str">
        <f>IFERROR(__xludf.DUMMYFUNCTION("if(isblank(B3531),,split(B3531,""-""))"),"")</f>
        <v/>
      </c>
    </row>
    <row r="3532">
      <c r="A3532" s="132"/>
      <c r="B3532" s="41"/>
      <c r="C3532" s="9"/>
      <c r="D3532" s="133"/>
      <c r="E3532" s="133"/>
      <c r="F3532" s="24"/>
      <c r="G3532" s="24"/>
      <c r="I3532" s="13" t="str">
        <f>IFERROR(__xludf.DUMMYFUNCTION("if(isblank(A3532),,split(A3532,""-""))"),"")</f>
        <v/>
      </c>
      <c r="K3532" s="13" t="str">
        <f>IFERROR(__xludf.DUMMYFUNCTION("if(isblank(B3532),,split(B3532,""-""))"),"")</f>
        <v/>
      </c>
    </row>
    <row r="3533">
      <c r="A3533" s="132"/>
      <c r="B3533" s="41"/>
      <c r="C3533" s="9"/>
      <c r="D3533" s="133"/>
      <c r="E3533" s="133"/>
      <c r="F3533" s="24"/>
      <c r="G3533" s="24"/>
      <c r="I3533" s="13" t="str">
        <f>IFERROR(__xludf.DUMMYFUNCTION("if(isblank(A3533),,split(A3533,""-""))"),"")</f>
        <v/>
      </c>
      <c r="K3533" s="13" t="str">
        <f>IFERROR(__xludf.DUMMYFUNCTION("if(isblank(B3533),,split(B3533,""-""))"),"")</f>
        <v/>
      </c>
    </row>
    <row r="3534">
      <c r="A3534" s="132"/>
      <c r="B3534" s="41"/>
      <c r="C3534" s="9"/>
      <c r="D3534" s="133"/>
      <c r="E3534" s="133"/>
      <c r="F3534" s="24"/>
      <c r="G3534" s="24"/>
      <c r="I3534" s="13" t="str">
        <f>IFERROR(__xludf.DUMMYFUNCTION("if(isblank(A3534),,split(A3534,""-""))"),"")</f>
        <v/>
      </c>
      <c r="K3534" s="13" t="str">
        <f>IFERROR(__xludf.DUMMYFUNCTION("if(isblank(B3534),,split(B3534,""-""))"),"")</f>
        <v/>
      </c>
    </row>
    <row r="3535">
      <c r="A3535" s="132"/>
      <c r="B3535" s="41"/>
      <c r="C3535" s="9"/>
      <c r="D3535" s="133"/>
      <c r="E3535" s="133"/>
      <c r="F3535" s="24"/>
      <c r="G3535" s="24"/>
      <c r="I3535" s="13" t="str">
        <f>IFERROR(__xludf.DUMMYFUNCTION("if(isblank(A3535),,split(A3535,""-""))"),"")</f>
        <v/>
      </c>
      <c r="K3535" s="13" t="str">
        <f>IFERROR(__xludf.DUMMYFUNCTION("if(isblank(B3535),,split(B3535,""-""))"),"")</f>
        <v/>
      </c>
    </row>
    <row r="3536">
      <c r="A3536" s="132"/>
      <c r="B3536" s="41"/>
      <c r="C3536" s="9"/>
      <c r="D3536" s="133"/>
      <c r="E3536" s="133"/>
      <c r="F3536" s="24"/>
      <c r="G3536" s="24"/>
      <c r="I3536" s="13" t="str">
        <f>IFERROR(__xludf.DUMMYFUNCTION("if(isblank(A3536),,split(A3536,""-""))"),"")</f>
        <v/>
      </c>
      <c r="K3536" s="13" t="str">
        <f>IFERROR(__xludf.DUMMYFUNCTION("if(isblank(B3536),,split(B3536,""-""))"),"")</f>
        <v/>
      </c>
    </row>
    <row r="3537">
      <c r="A3537" s="132"/>
      <c r="B3537" s="41"/>
      <c r="C3537" s="9"/>
      <c r="D3537" s="133"/>
      <c r="E3537" s="133"/>
      <c r="F3537" s="24"/>
      <c r="G3537" s="24"/>
      <c r="I3537" s="13" t="str">
        <f>IFERROR(__xludf.DUMMYFUNCTION("if(isblank(A3537),,split(A3537,""-""))"),"")</f>
        <v/>
      </c>
      <c r="K3537" s="13" t="str">
        <f>IFERROR(__xludf.DUMMYFUNCTION("if(isblank(B3537),,split(B3537,""-""))"),"")</f>
        <v/>
      </c>
    </row>
    <row r="3538">
      <c r="A3538" s="132"/>
      <c r="B3538" s="41"/>
      <c r="C3538" s="9"/>
      <c r="D3538" s="133"/>
      <c r="E3538" s="133"/>
      <c r="F3538" s="24"/>
      <c r="G3538" s="24"/>
      <c r="I3538" s="13" t="str">
        <f>IFERROR(__xludf.DUMMYFUNCTION("if(isblank(A3538),,split(A3538,""-""))"),"")</f>
        <v/>
      </c>
      <c r="K3538" s="13" t="str">
        <f>IFERROR(__xludf.DUMMYFUNCTION("if(isblank(B3538),,split(B3538,""-""))"),"")</f>
        <v/>
      </c>
    </row>
    <row r="3539">
      <c r="A3539" s="132"/>
      <c r="B3539" s="41"/>
      <c r="C3539" s="9"/>
      <c r="D3539" s="133"/>
      <c r="E3539" s="133"/>
      <c r="F3539" s="24"/>
      <c r="G3539" s="24"/>
      <c r="I3539" s="13" t="str">
        <f>IFERROR(__xludf.DUMMYFUNCTION("if(isblank(A3539),,split(A3539,""-""))"),"")</f>
        <v/>
      </c>
      <c r="K3539" s="13" t="str">
        <f>IFERROR(__xludf.DUMMYFUNCTION("if(isblank(B3539),,split(B3539,""-""))"),"")</f>
        <v/>
      </c>
    </row>
    <row r="3540">
      <c r="A3540" s="132"/>
      <c r="B3540" s="41"/>
      <c r="C3540" s="9"/>
      <c r="D3540" s="133"/>
      <c r="E3540" s="133"/>
      <c r="F3540" s="24"/>
      <c r="G3540" s="24"/>
      <c r="I3540" s="13" t="str">
        <f>IFERROR(__xludf.DUMMYFUNCTION("if(isblank(A3540),,split(A3540,""-""))"),"")</f>
        <v/>
      </c>
      <c r="K3540" s="13" t="str">
        <f>IFERROR(__xludf.DUMMYFUNCTION("if(isblank(B3540),,split(B3540,""-""))"),"")</f>
        <v/>
      </c>
    </row>
    <row r="3541">
      <c r="A3541" s="132"/>
      <c r="B3541" s="41"/>
      <c r="C3541" s="9"/>
      <c r="D3541" s="133"/>
      <c r="E3541" s="133"/>
      <c r="F3541" s="24"/>
      <c r="G3541" s="24"/>
      <c r="I3541" s="13" t="str">
        <f>IFERROR(__xludf.DUMMYFUNCTION("if(isblank(A3541),,split(A3541,""-""))"),"")</f>
        <v/>
      </c>
      <c r="K3541" s="13" t="str">
        <f>IFERROR(__xludf.DUMMYFUNCTION("if(isblank(B3541),,split(B3541,""-""))"),"")</f>
        <v/>
      </c>
    </row>
    <row r="3542">
      <c r="A3542" s="132"/>
      <c r="B3542" s="41"/>
      <c r="C3542" s="9"/>
      <c r="D3542" s="133"/>
      <c r="E3542" s="133"/>
      <c r="F3542" s="24"/>
      <c r="G3542" s="24"/>
      <c r="I3542" s="13" t="str">
        <f>IFERROR(__xludf.DUMMYFUNCTION("if(isblank(A3542),,split(A3542,""-""))"),"")</f>
        <v/>
      </c>
      <c r="K3542" s="13" t="str">
        <f>IFERROR(__xludf.DUMMYFUNCTION("if(isblank(B3542),,split(B3542,""-""))"),"")</f>
        <v/>
      </c>
    </row>
    <row r="3543">
      <c r="A3543" s="132"/>
      <c r="B3543" s="41"/>
      <c r="C3543" s="9"/>
      <c r="D3543" s="133"/>
      <c r="E3543" s="133"/>
      <c r="F3543" s="24"/>
      <c r="G3543" s="24"/>
      <c r="I3543" s="13" t="str">
        <f>IFERROR(__xludf.DUMMYFUNCTION("if(isblank(A3543),,split(A3543,""-""))"),"")</f>
        <v/>
      </c>
      <c r="K3543" s="13" t="str">
        <f>IFERROR(__xludf.DUMMYFUNCTION("if(isblank(B3543),,split(B3543,""-""))"),"")</f>
        <v/>
      </c>
    </row>
    <row r="3544">
      <c r="A3544" s="132"/>
      <c r="B3544" s="41"/>
      <c r="C3544" s="9"/>
      <c r="D3544" s="133"/>
      <c r="E3544" s="133"/>
      <c r="F3544" s="24"/>
      <c r="G3544" s="24"/>
      <c r="I3544" s="13" t="str">
        <f>IFERROR(__xludf.DUMMYFUNCTION("if(isblank(A3544),,split(A3544,""-""))"),"")</f>
        <v/>
      </c>
      <c r="K3544" s="13" t="str">
        <f>IFERROR(__xludf.DUMMYFUNCTION("if(isblank(B3544),,split(B3544,""-""))"),"")</f>
        <v/>
      </c>
    </row>
    <row r="3545">
      <c r="A3545" s="132"/>
      <c r="B3545" s="41"/>
      <c r="C3545" s="9"/>
      <c r="D3545" s="133"/>
      <c r="E3545" s="133"/>
      <c r="F3545" s="24"/>
      <c r="G3545" s="24"/>
      <c r="I3545" s="13" t="str">
        <f>IFERROR(__xludf.DUMMYFUNCTION("if(isblank(A3545),,split(A3545,""-""))"),"")</f>
        <v/>
      </c>
      <c r="K3545" s="13" t="str">
        <f>IFERROR(__xludf.DUMMYFUNCTION("if(isblank(B3545),,split(B3545,""-""))"),"")</f>
        <v/>
      </c>
    </row>
    <row r="3546">
      <c r="A3546" s="132"/>
      <c r="B3546" s="41"/>
      <c r="C3546" s="9"/>
      <c r="D3546" s="133"/>
      <c r="E3546" s="133"/>
      <c r="F3546" s="24"/>
      <c r="G3546" s="24"/>
      <c r="I3546" s="13" t="str">
        <f>IFERROR(__xludf.DUMMYFUNCTION("if(isblank(A3546),,split(A3546,""-""))"),"")</f>
        <v/>
      </c>
      <c r="K3546" s="13" t="str">
        <f>IFERROR(__xludf.DUMMYFUNCTION("if(isblank(B3546),,split(B3546,""-""))"),"")</f>
        <v/>
      </c>
    </row>
    <row r="3547">
      <c r="A3547" s="132"/>
      <c r="B3547" s="41"/>
      <c r="C3547" s="9"/>
      <c r="D3547" s="133"/>
      <c r="E3547" s="133"/>
      <c r="F3547" s="24"/>
      <c r="G3547" s="24"/>
      <c r="I3547" s="13" t="str">
        <f>IFERROR(__xludf.DUMMYFUNCTION("if(isblank(A3547),,split(A3547,""-""))"),"")</f>
        <v/>
      </c>
      <c r="K3547" s="13" t="str">
        <f>IFERROR(__xludf.DUMMYFUNCTION("if(isblank(B3547),,split(B3547,""-""))"),"")</f>
        <v/>
      </c>
    </row>
    <row r="3548">
      <c r="A3548" s="132"/>
      <c r="B3548" s="41"/>
      <c r="C3548" s="9"/>
      <c r="D3548" s="133"/>
      <c r="E3548" s="133"/>
      <c r="F3548" s="24"/>
      <c r="G3548" s="24"/>
      <c r="I3548" s="13" t="str">
        <f>IFERROR(__xludf.DUMMYFUNCTION("if(isblank(A3548),,split(A3548,""-""))"),"")</f>
        <v/>
      </c>
      <c r="K3548" s="13" t="str">
        <f>IFERROR(__xludf.DUMMYFUNCTION("if(isblank(B3548),,split(B3548,""-""))"),"")</f>
        <v/>
      </c>
    </row>
    <row r="3549">
      <c r="A3549" s="132"/>
      <c r="B3549" s="41"/>
      <c r="C3549" s="9"/>
      <c r="D3549" s="133"/>
      <c r="E3549" s="133"/>
      <c r="F3549" s="24"/>
      <c r="G3549" s="24"/>
      <c r="I3549" s="13" t="str">
        <f>IFERROR(__xludf.DUMMYFUNCTION("if(isblank(A3549),,split(A3549,""-""))"),"")</f>
        <v/>
      </c>
      <c r="K3549" s="13" t="str">
        <f>IFERROR(__xludf.DUMMYFUNCTION("if(isblank(B3549),,split(B3549,""-""))"),"")</f>
        <v/>
      </c>
    </row>
    <row r="3550">
      <c r="A3550" s="132"/>
      <c r="B3550" s="41"/>
      <c r="C3550" s="9"/>
      <c r="D3550" s="133"/>
      <c r="E3550" s="133"/>
      <c r="F3550" s="24"/>
      <c r="G3550" s="24"/>
      <c r="I3550" s="13" t="str">
        <f>IFERROR(__xludf.DUMMYFUNCTION("if(isblank(A3550),,split(A3550,""-""))"),"")</f>
        <v/>
      </c>
      <c r="K3550" s="13" t="str">
        <f>IFERROR(__xludf.DUMMYFUNCTION("if(isblank(B3550),,split(B3550,""-""))"),"")</f>
        <v/>
      </c>
    </row>
    <row r="3551">
      <c r="A3551" s="132"/>
      <c r="B3551" s="41"/>
      <c r="C3551" s="9"/>
      <c r="D3551" s="133"/>
      <c r="E3551" s="133"/>
      <c r="F3551" s="24"/>
      <c r="G3551" s="24"/>
      <c r="I3551" s="13" t="str">
        <f>IFERROR(__xludf.DUMMYFUNCTION("if(isblank(A3551),,split(A3551,""-""))"),"")</f>
        <v/>
      </c>
      <c r="K3551" s="13" t="str">
        <f>IFERROR(__xludf.DUMMYFUNCTION("if(isblank(B3551),,split(B3551,""-""))"),"")</f>
        <v/>
      </c>
    </row>
    <row r="3552">
      <c r="A3552" s="132"/>
      <c r="B3552" s="41"/>
      <c r="C3552" s="9"/>
      <c r="D3552" s="133"/>
      <c r="E3552" s="133"/>
      <c r="F3552" s="24"/>
      <c r="G3552" s="24"/>
      <c r="I3552" s="13" t="str">
        <f>IFERROR(__xludf.DUMMYFUNCTION("if(isblank(A3552),,split(A3552,""-""))"),"")</f>
        <v/>
      </c>
      <c r="K3552" s="13" t="str">
        <f>IFERROR(__xludf.DUMMYFUNCTION("if(isblank(B3552),,split(B3552,""-""))"),"")</f>
        <v/>
      </c>
    </row>
    <row r="3553">
      <c r="A3553" s="132"/>
      <c r="B3553" s="41"/>
      <c r="C3553" s="9"/>
      <c r="D3553" s="133"/>
      <c r="E3553" s="133"/>
      <c r="F3553" s="24"/>
      <c r="G3553" s="24"/>
      <c r="I3553" s="13" t="str">
        <f>IFERROR(__xludf.DUMMYFUNCTION("if(isblank(A3553),,split(A3553,""-""))"),"")</f>
        <v/>
      </c>
      <c r="K3553" s="13" t="str">
        <f>IFERROR(__xludf.DUMMYFUNCTION("if(isblank(B3553),,split(B3553,""-""))"),"")</f>
        <v/>
      </c>
    </row>
    <row r="3554">
      <c r="A3554" s="132"/>
      <c r="B3554" s="41"/>
      <c r="C3554" s="9"/>
      <c r="D3554" s="133"/>
      <c r="E3554" s="133"/>
      <c r="F3554" s="24"/>
      <c r="G3554" s="24"/>
      <c r="I3554" s="13" t="str">
        <f>IFERROR(__xludf.DUMMYFUNCTION("if(isblank(A3554),,split(A3554,""-""))"),"")</f>
        <v/>
      </c>
      <c r="K3554" s="13" t="str">
        <f>IFERROR(__xludf.DUMMYFUNCTION("if(isblank(B3554),,split(B3554,""-""))"),"")</f>
        <v/>
      </c>
    </row>
    <row r="3555">
      <c r="A3555" s="132"/>
      <c r="B3555" s="41"/>
      <c r="C3555" s="9"/>
      <c r="D3555" s="133"/>
      <c r="E3555" s="133"/>
      <c r="F3555" s="24"/>
      <c r="G3555" s="24"/>
      <c r="I3555" s="13" t="str">
        <f>IFERROR(__xludf.DUMMYFUNCTION("if(isblank(A3555),,split(A3555,""-""))"),"")</f>
        <v/>
      </c>
      <c r="K3555" s="13" t="str">
        <f>IFERROR(__xludf.DUMMYFUNCTION("if(isblank(B3555),,split(B3555,""-""))"),"")</f>
        <v/>
      </c>
    </row>
    <row r="3556">
      <c r="A3556" s="132"/>
      <c r="B3556" s="41"/>
      <c r="C3556" s="9"/>
      <c r="D3556" s="133"/>
      <c r="E3556" s="133"/>
      <c r="F3556" s="24"/>
      <c r="G3556" s="24"/>
      <c r="I3556" s="13" t="str">
        <f>IFERROR(__xludf.DUMMYFUNCTION("if(isblank(A3556),,split(A3556,""-""))"),"")</f>
        <v/>
      </c>
      <c r="K3556" s="13" t="str">
        <f>IFERROR(__xludf.DUMMYFUNCTION("if(isblank(B3556),,split(B3556,""-""))"),"")</f>
        <v/>
      </c>
    </row>
    <row r="3557">
      <c r="A3557" s="132"/>
      <c r="B3557" s="41"/>
      <c r="C3557" s="9"/>
      <c r="D3557" s="133"/>
      <c r="E3557" s="133"/>
      <c r="F3557" s="24"/>
      <c r="G3557" s="24"/>
      <c r="I3557" s="13" t="str">
        <f>IFERROR(__xludf.DUMMYFUNCTION("if(isblank(A3557),,split(A3557,""-""))"),"")</f>
        <v/>
      </c>
      <c r="K3557" s="13" t="str">
        <f>IFERROR(__xludf.DUMMYFUNCTION("if(isblank(B3557),,split(B3557,""-""))"),"")</f>
        <v/>
      </c>
    </row>
    <row r="3558">
      <c r="A3558" s="132"/>
      <c r="B3558" s="41"/>
      <c r="C3558" s="9"/>
      <c r="D3558" s="133"/>
      <c r="E3558" s="133"/>
      <c r="F3558" s="24"/>
      <c r="G3558" s="24"/>
      <c r="I3558" s="13" t="str">
        <f>IFERROR(__xludf.DUMMYFUNCTION("if(isblank(A3558),,split(A3558,""-""))"),"")</f>
        <v/>
      </c>
      <c r="K3558" s="13" t="str">
        <f>IFERROR(__xludf.DUMMYFUNCTION("if(isblank(B3558),,split(B3558,""-""))"),"")</f>
        <v/>
      </c>
    </row>
    <row r="3559">
      <c r="A3559" s="132"/>
      <c r="B3559" s="41"/>
      <c r="C3559" s="9"/>
      <c r="D3559" s="133"/>
      <c r="E3559" s="133"/>
      <c r="F3559" s="24"/>
      <c r="G3559" s="24"/>
      <c r="I3559" s="13" t="str">
        <f>IFERROR(__xludf.DUMMYFUNCTION("if(isblank(A3559),,split(A3559,""-""))"),"")</f>
        <v/>
      </c>
      <c r="K3559" s="13" t="str">
        <f>IFERROR(__xludf.DUMMYFUNCTION("if(isblank(B3559),,split(B3559,""-""))"),"")</f>
        <v/>
      </c>
    </row>
    <row r="3560">
      <c r="A3560" s="132"/>
      <c r="B3560" s="41"/>
      <c r="C3560" s="9"/>
      <c r="D3560" s="133"/>
      <c r="E3560" s="133"/>
      <c r="F3560" s="24"/>
      <c r="G3560" s="24"/>
      <c r="I3560" s="13" t="str">
        <f>IFERROR(__xludf.DUMMYFUNCTION("if(isblank(A3560),,split(A3560,""-""))"),"")</f>
        <v/>
      </c>
      <c r="K3560" s="13" t="str">
        <f>IFERROR(__xludf.DUMMYFUNCTION("if(isblank(B3560),,split(B3560,""-""))"),"")</f>
        <v/>
      </c>
    </row>
    <row r="3561">
      <c r="A3561" s="132"/>
      <c r="B3561" s="41"/>
      <c r="C3561" s="9"/>
      <c r="D3561" s="133"/>
      <c r="E3561" s="133"/>
      <c r="F3561" s="24"/>
      <c r="G3561" s="24"/>
      <c r="I3561" s="13" t="str">
        <f>IFERROR(__xludf.DUMMYFUNCTION("if(isblank(A3561),,split(A3561,""-""))"),"")</f>
        <v/>
      </c>
      <c r="K3561" s="13" t="str">
        <f>IFERROR(__xludf.DUMMYFUNCTION("if(isblank(B3561),,split(B3561,""-""))"),"")</f>
        <v/>
      </c>
    </row>
    <row r="3562">
      <c r="A3562" s="132"/>
      <c r="B3562" s="41"/>
      <c r="C3562" s="9"/>
      <c r="D3562" s="133"/>
      <c r="E3562" s="133"/>
      <c r="F3562" s="24"/>
      <c r="G3562" s="24"/>
      <c r="I3562" s="13" t="str">
        <f>IFERROR(__xludf.DUMMYFUNCTION("if(isblank(A3562),,split(A3562,""-""))"),"")</f>
        <v/>
      </c>
      <c r="K3562" s="13" t="str">
        <f>IFERROR(__xludf.DUMMYFUNCTION("if(isblank(B3562),,split(B3562,""-""))"),"")</f>
        <v/>
      </c>
    </row>
    <row r="3563">
      <c r="A3563" s="132"/>
      <c r="B3563" s="41"/>
      <c r="C3563" s="9"/>
      <c r="D3563" s="133"/>
      <c r="E3563" s="133"/>
      <c r="F3563" s="24"/>
      <c r="G3563" s="24"/>
      <c r="I3563" s="13" t="str">
        <f>IFERROR(__xludf.DUMMYFUNCTION("if(isblank(A3563),,split(A3563,""-""))"),"")</f>
        <v/>
      </c>
      <c r="K3563" s="13" t="str">
        <f>IFERROR(__xludf.DUMMYFUNCTION("if(isblank(B3563),,split(B3563,""-""))"),"")</f>
        <v/>
      </c>
    </row>
    <row r="3564">
      <c r="A3564" s="132"/>
      <c r="B3564" s="41"/>
      <c r="C3564" s="9"/>
      <c r="D3564" s="133"/>
      <c r="E3564" s="133"/>
      <c r="F3564" s="24"/>
      <c r="G3564" s="24"/>
      <c r="I3564" s="13" t="str">
        <f>IFERROR(__xludf.DUMMYFUNCTION("if(isblank(A3564),,split(A3564,""-""))"),"")</f>
        <v/>
      </c>
      <c r="K3564" s="13" t="str">
        <f>IFERROR(__xludf.DUMMYFUNCTION("if(isblank(B3564),,split(B3564,""-""))"),"")</f>
        <v/>
      </c>
    </row>
    <row r="3565">
      <c r="A3565" s="132"/>
      <c r="B3565" s="41"/>
      <c r="C3565" s="9"/>
      <c r="D3565" s="133"/>
      <c r="E3565" s="133"/>
      <c r="F3565" s="24"/>
      <c r="G3565" s="24"/>
      <c r="I3565" s="13" t="str">
        <f>IFERROR(__xludf.DUMMYFUNCTION("if(isblank(A3565),,split(A3565,""-""))"),"")</f>
        <v/>
      </c>
      <c r="K3565" s="13" t="str">
        <f>IFERROR(__xludf.DUMMYFUNCTION("if(isblank(B3565),,split(B3565,""-""))"),"")</f>
        <v/>
      </c>
    </row>
    <row r="3566">
      <c r="A3566" s="132"/>
      <c r="B3566" s="41"/>
      <c r="C3566" s="9"/>
      <c r="D3566" s="133"/>
      <c r="E3566" s="133"/>
      <c r="F3566" s="24"/>
      <c r="G3566" s="24"/>
      <c r="I3566" s="13" t="str">
        <f>IFERROR(__xludf.DUMMYFUNCTION("if(isblank(A3566),,split(A3566,""-""))"),"")</f>
        <v/>
      </c>
      <c r="K3566" s="13" t="str">
        <f>IFERROR(__xludf.DUMMYFUNCTION("if(isblank(B3566),,split(B3566,""-""))"),"")</f>
        <v/>
      </c>
    </row>
    <row r="3567">
      <c r="A3567" s="132"/>
      <c r="B3567" s="41"/>
      <c r="C3567" s="9"/>
      <c r="D3567" s="133"/>
      <c r="E3567" s="133"/>
      <c r="F3567" s="24"/>
      <c r="G3567" s="24"/>
      <c r="I3567" s="13" t="str">
        <f>IFERROR(__xludf.DUMMYFUNCTION("if(isblank(A3567),,split(A3567,""-""))"),"")</f>
        <v/>
      </c>
      <c r="K3567" s="13" t="str">
        <f>IFERROR(__xludf.DUMMYFUNCTION("if(isblank(B3567),,split(B3567,""-""))"),"")</f>
        <v/>
      </c>
    </row>
    <row r="3568">
      <c r="A3568" s="132"/>
      <c r="B3568" s="41"/>
      <c r="C3568" s="9"/>
      <c r="D3568" s="133"/>
      <c r="E3568" s="133"/>
      <c r="F3568" s="24"/>
      <c r="G3568" s="24"/>
      <c r="I3568" s="13" t="str">
        <f>IFERROR(__xludf.DUMMYFUNCTION("if(isblank(A3568),,split(A3568,""-""))"),"")</f>
        <v/>
      </c>
      <c r="K3568" s="13" t="str">
        <f>IFERROR(__xludf.DUMMYFUNCTION("if(isblank(B3568),,split(B3568,""-""))"),"")</f>
        <v/>
      </c>
    </row>
    <row r="3569">
      <c r="A3569" s="132"/>
      <c r="B3569" s="41"/>
      <c r="C3569" s="9"/>
      <c r="D3569" s="133"/>
      <c r="E3569" s="133"/>
      <c r="F3569" s="24"/>
      <c r="G3569" s="24"/>
      <c r="I3569" s="13" t="str">
        <f>IFERROR(__xludf.DUMMYFUNCTION("if(isblank(A3569),,split(A3569,""-""))"),"")</f>
        <v/>
      </c>
      <c r="K3569" s="13" t="str">
        <f>IFERROR(__xludf.DUMMYFUNCTION("if(isblank(B3569),,split(B3569,""-""))"),"")</f>
        <v/>
      </c>
    </row>
    <row r="3570">
      <c r="A3570" s="132"/>
      <c r="B3570" s="41"/>
      <c r="C3570" s="9"/>
      <c r="D3570" s="133"/>
      <c r="E3570" s="133"/>
      <c r="F3570" s="24"/>
      <c r="G3570" s="24"/>
      <c r="I3570" s="13" t="str">
        <f>IFERROR(__xludf.DUMMYFUNCTION("if(isblank(A3570),,split(A3570,""-""))"),"")</f>
        <v/>
      </c>
      <c r="K3570" s="13" t="str">
        <f>IFERROR(__xludf.DUMMYFUNCTION("if(isblank(B3570),,split(B3570,""-""))"),"")</f>
        <v/>
      </c>
    </row>
    <row r="3571">
      <c r="A3571" s="132"/>
      <c r="B3571" s="41"/>
      <c r="C3571" s="9"/>
      <c r="D3571" s="133"/>
      <c r="E3571" s="133"/>
      <c r="F3571" s="24"/>
      <c r="G3571" s="24"/>
      <c r="I3571" s="13" t="str">
        <f>IFERROR(__xludf.DUMMYFUNCTION("if(isblank(A3571),,split(A3571,""-""))"),"")</f>
        <v/>
      </c>
      <c r="K3571" s="13" t="str">
        <f>IFERROR(__xludf.DUMMYFUNCTION("if(isblank(B3571),,split(B3571,""-""))"),"")</f>
        <v/>
      </c>
    </row>
    <row r="3572">
      <c r="A3572" s="132"/>
      <c r="B3572" s="41"/>
      <c r="C3572" s="9"/>
      <c r="D3572" s="133"/>
      <c r="E3572" s="133"/>
      <c r="F3572" s="24"/>
      <c r="G3572" s="24"/>
      <c r="I3572" s="13" t="str">
        <f>IFERROR(__xludf.DUMMYFUNCTION("if(isblank(A3572),,split(A3572,""-""))"),"")</f>
        <v/>
      </c>
      <c r="K3572" s="13" t="str">
        <f>IFERROR(__xludf.DUMMYFUNCTION("if(isblank(B3572),,split(B3572,""-""))"),"")</f>
        <v/>
      </c>
    </row>
    <row r="3573">
      <c r="A3573" s="132"/>
      <c r="B3573" s="41"/>
      <c r="C3573" s="9"/>
      <c r="D3573" s="133"/>
      <c r="E3573" s="133"/>
      <c r="F3573" s="24"/>
      <c r="G3573" s="24"/>
      <c r="I3573" s="13" t="str">
        <f>IFERROR(__xludf.DUMMYFUNCTION("if(isblank(A3573),,split(A3573,""-""))"),"")</f>
        <v/>
      </c>
      <c r="K3573" s="13" t="str">
        <f>IFERROR(__xludf.DUMMYFUNCTION("if(isblank(B3573),,split(B3573,""-""))"),"")</f>
        <v/>
      </c>
    </row>
    <row r="3574">
      <c r="A3574" s="132"/>
      <c r="B3574" s="41"/>
      <c r="C3574" s="9"/>
      <c r="D3574" s="133"/>
      <c r="E3574" s="133"/>
      <c r="F3574" s="24"/>
      <c r="G3574" s="24"/>
      <c r="I3574" s="13" t="str">
        <f>IFERROR(__xludf.DUMMYFUNCTION("if(isblank(A3574),,split(A3574,""-""))"),"")</f>
        <v/>
      </c>
      <c r="K3574" s="13" t="str">
        <f>IFERROR(__xludf.DUMMYFUNCTION("if(isblank(B3574),,split(B3574,""-""))"),"")</f>
        <v/>
      </c>
    </row>
    <row r="3575">
      <c r="A3575" s="132"/>
      <c r="B3575" s="41"/>
      <c r="C3575" s="9"/>
      <c r="D3575" s="133"/>
      <c r="E3575" s="133"/>
      <c r="F3575" s="24"/>
      <c r="G3575" s="24"/>
      <c r="I3575" s="13" t="str">
        <f>IFERROR(__xludf.DUMMYFUNCTION("if(isblank(A3575),,split(A3575,""-""))"),"")</f>
        <v/>
      </c>
      <c r="K3575" s="13" t="str">
        <f>IFERROR(__xludf.DUMMYFUNCTION("if(isblank(B3575),,split(B3575,""-""))"),"")</f>
        <v/>
      </c>
    </row>
    <row r="3576">
      <c r="A3576" s="132"/>
      <c r="B3576" s="41"/>
      <c r="C3576" s="9"/>
      <c r="D3576" s="133"/>
      <c r="E3576" s="133"/>
      <c r="F3576" s="24"/>
      <c r="G3576" s="24"/>
      <c r="I3576" s="13" t="str">
        <f>IFERROR(__xludf.DUMMYFUNCTION("if(isblank(A3576),,split(A3576,""-""))"),"")</f>
        <v/>
      </c>
      <c r="K3576" s="13" t="str">
        <f>IFERROR(__xludf.DUMMYFUNCTION("if(isblank(B3576),,split(B3576,""-""))"),"")</f>
        <v/>
      </c>
    </row>
    <row r="3577">
      <c r="A3577" s="132"/>
      <c r="B3577" s="41"/>
      <c r="C3577" s="9"/>
      <c r="D3577" s="133"/>
      <c r="E3577" s="133"/>
      <c r="F3577" s="24"/>
      <c r="G3577" s="24"/>
      <c r="I3577" s="13" t="str">
        <f>IFERROR(__xludf.DUMMYFUNCTION("if(isblank(A3577),,split(A3577,""-""))"),"")</f>
        <v/>
      </c>
      <c r="K3577" s="13" t="str">
        <f>IFERROR(__xludf.DUMMYFUNCTION("if(isblank(B3577),,split(B3577,""-""))"),"")</f>
        <v/>
      </c>
    </row>
    <row r="3578">
      <c r="A3578" s="132"/>
      <c r="B3578" s="41"/>
      <c r="C3578" s="9"/>
      <c r="D3578" s="133"/>
      <c r="E3578" s="133"/>
      <c r="F3578" s="24"/>
      <c r="G3578" s="24"/>
      <c r="I3578" s="13" t="str">
        <f>IFERROR(__xludf.DUMMYFUNCTION("if(isblank(A3578),,split(A3578,""-""))"),"")</f>
        <v/>
      </c>
      <c r="K3578" s="13" t="str">
        <f>IFERROR(__xludf.DUMMYFUNCTION("if(isblank(B3578),,split(B3578,""-""))"),"")</f>
        <v/>
      </c>
    </row>
    <row r="3579">
      <c r="A3579" s="132"/>
      <c r="B3579" s="41"/>
      <c r="C3579" s="9"/>
      <c r="D3579" s="133"/>
      <c r="E3579" s="133"/>
      <c r="F3579" s="24"/>
      <c r="G3579" s="24"/>
      <c r="I3579" s="13" t="str">
        <f>IFERROR(__xludf.DUMMYFUNCTION("if(isblank(A3579),,split(A3579,""-""))"),"")</f>
        <v/>
      </c>
      <c r="K3579" s="13" t="str">
        <f>IFERROR(__xludf.DUMMYFUNCTION("if(isblank(B3579),,split(B3579,""-""))"),"")</f>
        <v/>
      </c>
    </row>
    <row r="3580">
      <c r="A3580" s="132"/>
      <c r="B3580" s="41"/>
      <c r="C3580" s="9"/>
      <c r="D3580" s="133"/>
      <c r="E3580" s="133"/>
      <c r="F3580" s="24"/>
      <c r="G3580" s="24"/>
      <c r="I3580" s="13" t="str">
        <f>IFERROR(__xludf.DUMMYFUNCTION("if(isblank(A3580),,split(A3580,""-""))"),"")</f>
        <v/>
      </c>
      <c r="K3580" s="13" t="str">
        <f>IFERROR(__xludf.DUMMYFUNCTION("if(isblank(B3580),,split(B3580,""-""))"),"")</f>
        <v/>
      </c>
    </row>
    <row r="3581">
      <c r="A3581" s="132"/>
      <c r="B3581" s="41"/>
      <c r="C3581" s="9"/>
      <c r="D3581" s="133"/>
      <c r="E3581" s="133"/>
      <c r="F3581" s="24"/>
      <c r="G3581" s="24"/>
      <c r="I3581" s="13" t="str">
        <f>IFERROR(__xludf.DUMMYFUNCTION("if(isblank(A3581),,split(A3581,""-""))"),"")</f>
        <v/>
      </c>
      <c r="K3581" s="13" t="str">
        <f>IFERROR(__xludf.DUMMYFUNCTION("if(isblank(B3581),,split(B3581,""-""))"),"")</f>
        <v/>
      </c>
    </row>
    <row r="3582">
      <c r="A3582" s="132"/>
      <c r="B3582" s="41"/>
      <c r="C3582" s="9"/>
      <c r="D3582" s="133"/>
      <c r="E3582" s="133"/>
      <c r="F3582" s="24"/>
      <c r="G3582" s="24"/>
      <c r="I3582" s="13" t="str">
        <f>IFERROR(__xludf.DUMMYFUNCTION("if(isblank(A3582),,split(A3582,""-""))"),"")</f>
        <v/>
      </c>
      <c r="K3582" s="13" t="str">
        <f>IFERROR(__xludf.DUMMYFUNCTION("if(isblank(B3582),,split(B3582,""-""))"),"")</f>
        <v/>
      </c>
    </row>
    <row r="3583">
      <c r="A3583" s="132"/>
      <c r="B3583" s="41"/>
      <c r="C3583" s="9"/>
      <c r="D3583" s="133"/>
      <c r="E3583" s="133"/>
      <c r="F3583" s="24"/>
      <c r="G3583" s="24"/>
      <c r="I3583" s="13" t="str">
        <f>IFERROR(__xludf.DUMMYFUNCTION("if(isblank(A3583),,split(A3583,""-""))"),"")</f>
        <v/>
      </c>
      <c r="K3583" s="13" t="str">
        <f>IFERROR(__xludf.DUMMYFUNCTION("if(isblank(B3583),,split(B3583,""-""))"),"")</f>
        <v/>
      </c>
    </row>
    <row r="3584">
      <c r="A3584" s="132"/>
      <c r="B3584" s="41"/>
      <c r="C3584" s="9"/>
      <c r="D3584" s="133"/>
      <c r="E3584" s="133"/>
      <c r="F3584" s="24"/>
      <c r="G3584" s="24"/>
      <c r="I3584" s="13" t="str">
        <f>IFERROR(__xludf.DUMMYFUNCTION("if(isblank(A3584),,split(A3584,""-""))"),"")</f>
        <v/>
      </c>
      <c r="K3584" s="13" t="str">
        <f>IFERROR(__xludf.DUMMYFUNCTION("if(isblank(B3584),,split(B3584,""-""))"),"")</f>
        <v/>
      </c>
    </row>
    <row r="3585">
      <c r="A3585" s="132"/>
      <c r="B3585" s="41"/>
      <c r="C3585" s="9"/>
      <c r="D3585" s="133"/>
      <c r="E3585" s="133"/>
      <c r="F3585" s="24"/>
      <c r="G3585" s="24"/>
      <c r="I3585" s="13" t="str">
        <f>IFERROR(__xludf.DUMMYFUNCTION("if(isblank(A3585),,split(A3585,""-""))"),"")</f>
        <v/>
      </c>
      <c r="K3585" s="13" t="str">
        <f>IFERROR(__xludf.DUMMYFUNCTION("if(isblank(B3585),,split(B3585,""-""))"),"")</f>
        <v/>
      </c>
    </row>
    <row r="3586">
      <c r="A3586" s="132"/>
      <c r="B3586" s="41"/>
      <c r="C3586" s="9"/>
      <c r="D3586" s="133"/>
      <c r="E3586" s="133"/>
      <c r="F3586" s="24"/>
      <c r="G3586" s="24"/>
      <c r="I3586" s="13" t="str">
        <f>IFERROR(__xludf.DUMMYFUNCTION("if(isblank(A3586),,split(A3586,""-""))"),"")</f>
        <v/>
      </c>
      <c r="K3586" s="13" t="str">
        <f>IFERROR(__xludf.DUMMYFUNCTION("if(isblank(B3586),,split(B3586,""-""))"),"")</f>
        <v/>
      </c>
    </row>
    <row r="3587">
      <c r="A3587" s="132"/>
      <c r="B3587" s="41"/>
      <c r="C3587" s="9"/>
      <c r="D3587" s="133"/>
      <c r="E3587" s="133"/>
      <c r="F3587" s="24"/>
      <c r="G3587" s="24"/>
      <c r="I3587" s="13" t="str">
        <f>IFERROR(__xludf.DUMMYFUNCTION("if(isblank(A3587),,split(A3587,""-""))"),"")</f>
        <v/>
      </c>
      <c r="K3587" s="13" t="str">
        <f>IFERROR(__xludf.DUMMYFUNCTION("if(isblank(B3587),,split(B3587,""-""))"),"")</f>
        <v/>
      </c>
    </row>
    <row r="3588">
      <c r="A3588" s="132"/>
      <c r="B3588" s="41"/>
      <c r="C3588" s="9"/>
      <c r="D3588" s="133"/>
      <c r="E3588" s="133"/>
      <c r="F3588" s="24"/>
      <c r="G3588" s="24"/>
      <c r="I3588" s="13" t="str">
        <f>IFERROR(__xludf.DUMMYFUNCTION("if(isblank(A3588),,split(A3588,""-""))"),"")</f>
        <v/>
      </c>
      <c r="K3588" s="13" t="str">
        <f>IFERROR(__xludf.DUMMYFUNCTION("if(isblank(B3588),,split(B3588,""-""))"),"")</f>
        <v/>
      </c>
    </row>
    <row r="3589">
      <c r="A3589" s="132"/>
      <c r="B3589" s="41"/>
      <c r="C3589" s="9"/>
      <c r="D3589" s="133"/>
      <c r="E3589" s="133"/>
      <c r="F3589" s="24"/>
      <c r="G3589" s="24"/>
      <c r="I3589" s="13" t="str">
        <f>IFERROR(__xludf.DUMMYFUNCTION("if(isblank(A3589),,split(A3589,""-""))"),"")</f>
        <v/>
      </c>
      <c r="K3589" s="13" t="str">
        <f>IFERROR(__xludf.DUMMYFUNCTION("if(isblank(B3589),,split(B3589,""-""))"),"")</f>
        <v/>
      </c>
    </row>
    <row r="3590">
      <c r="A3590" s="132"/>
      <c r="B3590" s="41"/>
      <c r="C3590" s="9"/>
      <c r="D3590" s="133"/>
      <c r="E3590" s="133"/>
      <c r="F3590" s="24"/>
      <c r="G3590" s="24"/>
      <c r="I3590" s="13" t="str">
        <f>IFERROR(__xludf.DUMMYFUNCTION("if(isblank(A3590),,split(A3590,""-""))"),"")</f>
        <v/>
      </c>
      <c r="K3590" s="13" t="str">
        <f>IFERROR(__xludf.DUMMYFUNCTION("if(isblank(B3590),,split(B3590,""-""))"),"")</f>
        <v/>
      </c>
    </row>
    <row r="3591">
      <c r="A3591" s="132"/>
      <c r="B3591" s="41"/>
      <c r="C3591" s="9"/>
      <c r="D3591" s="133"/>
      <c r="E3591" s="133"/>
      <c r="F3591" s="24"/>
      <c r="G3591" s="24"/>
      <c r="I3591" s="13" t="str">
        <f>IFERROR(__xludf.DUMMYFUNCTION("if(isblank(A3591),,split(A3591,""-""))"),"")</f>
        <v/>
      </c>
      <c r="K3591" s="13" t="str">
        <f>IFERROR(__xludf.DUMMYFUNCTION("if(isblank(B3591),,split(B3591,""-""))"),"")</f>
        <v/>
      </c>
    </row>
    <row r="3592">
      <c r="A3592" s="132"/>
      <c r="B3592" s="41"/>
      <c r="C3592" s="9"/>
      <c r="D3592" s="133"/>
      <c r="E3592" s="133"/>
      <c r="F3592" s="24"/>
      <c r="G3592" s="24"/>
      <c r="I3592" s="13" t="str">
        <f>IFERROR(__xludf.DUMMYFUNCTION("if(isblank(A3592),,split(A3592,""-""))"),"")</f>
        <v/>
      </c>
      <c r="K3592" s="13" t="str">
        <f>IFERROR(__xludf.DUMMYFUNCTION("if(isblank(B3592),,split(B3592,""-""))"),"")</f>
        <v/>
      </c>
    </row>
    <row r="3593">
      <c r="A3593" s="132"/>
      <c r="B3593" s="41"/>
      <c r="C3593" s="9"/>
      <c r="D3593" s="133"/>
      <c r="E3593" s="133"/>
      <c r="F3593" s="24"/>
      <c r="G3593" s="24"/>
      <c r="I3593" s="13" t="str">
        <f>IFERROR(__xludf.DUMMYFUNCTION("if(isblank(A3593),,split(A3593,""-""))"),"")</f>
        <v/>
      </c>
      <c r="K3593" s="13" t="str">
        <f>IFERROR(__xludf.DUMMYFUNCTION("if(isblank(B3593),,split(B3593,""-""))"),"")</f>
        <v/>
      </c>
    </row>
    <row r="3594">
      <c r="A3594" s="132"/>
      <c r="B3594" s="41"/>
      <c r="C3594" s="9"/>
      <c r="D3594" s="133"/>
      <c r="E3594" s="133"/>
      <c r="F3594" s="24"/>
      <c r="G3594" s="24"/>
      <c r="I3594" s="13" t="str">
        <f>IFERROR(__xludf.DUMMYFUNCTION("if(isblank(A3594),,split(A3594,""-""))"),"")</f>
        <v/>
      </c>
      <c r="K3594" s="13" t="str">
        <f>IFERROR(__xludf.DUMMYFUNCTION("if(isblank(B3594),,split(B3594,""-""))"),"")</f>
        <v/>
      </c>
    </row>
    <row r="3595">
      <c r="A3595" s="132"/>
      <c r="B3595" s="41"/>
      <c r="C3595" s="9"/>
      <c r="D3595" s="133"/>
      <c r="E3595" s="133"/>
      <c r="F3595" s="24"/>
      <c r="G3595" s="24"/>
      <c r="I3595" s="13" t="str">
        <f>IFERROR(__xludf.DUMMYFUNCTION("if(isblank(A3595),,split(A3595,""-""))"),"")</f>
        <v/>
      </c>
      <c r="K3595" s="13" t="str">
        <f>IFERROR(__xludf.DUMMYFUNCTION("if(isblank(B3595),,split(B3595,""-""))"),"")</f>
        <v/>
      </c>
    </row>
    <row r="3596">
      <c r="A3596" s="132"/>
      <c r="B3596" s="41"/>
      <c r="C3596" s="9"/>
      <c r="D3596" s="133"/>
      <c r="E3596" s="133"/>
      <c r="F3596" s="24"/>
      <c r="G3596" s="24"/>
      <c r="I3596" s="13" t="str">
        <f>IFERROR(__xludf.DUMMYFUNCTION("if(isblank(A3596),,split(A3596,""-""))"),"")</f>
        <v/>
      </c>
      <c r="K3596" s="13" t="str">
        <f>IFERROR(__xludf.DUMMYFUNCTION("if(isblank(B3596),,split(B3596,""-""))"),"")</f>
        <v/>
      </c>
    </row>
    <row r="3597">
      <c r="A3597" s="132"/>
      <c r="B3597" s="41"/>
      <c r="C3597" s="9"/>
      <c r="D3597" s="133"/>
      <c r="E3597" s="133"/>
      <c r="F3597" s="24"/>
      <c r="G3597" s="24"/>
      <c r="I3597" s="13" t="str">
        <f>IFERROR(__xludf.DUMMYFUNCTION("if(isblank(A3597),,split(A3597,""-""))"),"")</f>
        <v/>
      </c>
      <c r="K3597" s="13" t="str">
        <f>IFERROR(__xludf.DUMMYFUNCTION("if(isblank(B3597),,split(B3597,""-""))"),"")</f>
        <v/>
      </c>
    </row>
    <row r="3598">
      <c r="A3598" s="132"/>
      <c r="B3598" s="41"/>
      <c r="C3598" s="9"/>
      <c r="D3598" s="133"/>
      <c r="E3598" s="133"/>
      <c r="F3598" s="24"/>
      <c r="G3598" s="24"/>
      <c r="I3598" s="13" t="str">
        <f>IFERROR(__xludf.DUMMYFUNCTION("if(isblank(A3598),,split(A3598,""-""))"),"")</f>
        <v/>
      </c>
      <c r="K3598" s="13" t="str">
        <f>IFERROR(__xludf.DUMMYFUNCTION("if(isblank(B3598),,split(B3598,""-""))"),"")</f>
        <v/>
      </c>
    </row>
    <row r="3599">
      <c r="A3599" s="132"/>
      <c r="B3599" s="41"/>
      <c r="C3599" s="9"/>
      <c r="D3599" s="133"/>
      <c r="E3599" s="133"/>
      <c r="F3599" s="24"/>
      <c r="G3599" s="24"/>
      <c r="I3599" s="13" t="str">
        <f>IFERROR(__xludf.DUMMYFUNCTION("if(isblank(A3599),,split(A3599,""-""))"),"")</f>
        <v/>
      </c>
      <c r="K3599" s="13" t="str">
        <f>IFERROR(__xludf.DUMMYFUNCTION("if(isblank(B3599),,split(B3599,""-""))"),"")</f>
        <v/>
      </c>
    </row>
    <row r="3600">
      <c r="A3600" s="132"/>
      <c r="B3600" s="41"/>
      <c r="C3600" s="9"/>
      <c r="D3600" s="133"/>
      <c r="E3600" s="133"/>
      <c r="F3600" s="24"/>
      <c r="G3600" s="24"/>
      <c r="I3600" s="13" t="str">
        <f>IFERROR(__xludf.DUMMYFUNCTION("if(isblank(A3600),,split(A3600,""-""))"),"")</f>
        <v/>
      </c>
      <c r="K3600" s="13" t="str">
        <f>IFERROR(__xludf.DUMMYFUNCTION("if(isblank(B3600),,split(B3600,""-""))"),"")</f>
        <v/>
      </c>
    </row>
    <row r="3601">
      <c r="A3601" s="132"/>
      <c r="B3601" s="41"/>
      <c r="C3601" s="9"/>
      <c r="D3601" s="133"/>
      <c r="E3601" s="133"/>
      <c r="F3601" s="24"/>
      <c r="G3601" s="24"/>
      <c r="I3601" s="13" t="str">
        <f>IFERROR(__xludf.DUMMYFUNCTION("if(isblank(A3601),,split(A3601,""-""))"),"")</f>
        <v/>
      </c>
      <c r="K3601" s="13" t="str">
        <f>IFERROR(__xludf.DUMMYFUNCTION("if(isblank(B3601),,split(B3601,""-""))"),"")</f>
        <v/>
      </c>
    </row>
    <row r="3602">
      <c r="A3602" s="132"/>
      <c r="B3602" s="41"/>
      <c r="C3602" s="9"/>
      <c r="D3602" s="133"/>
      <c r="E3602" s="133"/>
      <c r="F3602" s="24"/>
      <c r="G3602" s="24"/>
      <c r="I3602" s="13" t="str">
        <f>IFERROR(__xludf.DUMMYFUNCTION("if(isblank(A3602),,split(A3602,""-""))"),"")</f>
        <v/>
      </c>
      <c r="K3602" s="13" t="str">
        <f>IFERROR(__xludf.DUMMYFUNCTION("if(isblank(B3602),,split(B3602,""-""))"),"")</f>
        <v/>
      </c>
    </row>
    <row r="3603">
      <c r="A3603" s="132"/>
      <c r="B3603" s="41"/>
      <c r="C3603" s="9"/>
      <c r="D3603" s="133"/>
      <c r="E3603" s="133"/>
      <c r="F3603" s="24"/>
      <c r="G3603" s="24"/>
      <c r="I3603" s="13" t="str">
        <f>IFERROR(__xludf.DUMMYFUNCTION("if(isblank(A3603),,split(A3603,""-""))"),"")</f>
        <v/>
      </c>
      <c r="K3603" s="13" t="str">
        <f>IFERROR(__xludf.DUMMYFUNCTION("if(isblank(B3603),,split(B3603,""-""))"),"")</f>
        <v/>
      </c>
    </row>
    <row r="3604">
      <c r="A3604" s="132"/>
      <c r="B3604" s="41"/>
      <c r="C3604" s="9"/>
      <c r="D3604" s="133"/>
      <c r="E3604" s="133"/>
      <c r="F3604" s="24"/>
      <c r="G3604" s="24"/>
      <c r="I3604" s="13" t="str">
        <f>IFERROR(__xludf.DUMMYFUNCTION("if(isblank(A3604),,split(A3604,""-""))"),"")</f>
        <v/>
      </c>
      <c r="K3604" s="13" t="str">
        <f>IFERROR(__xludf.DUMMYFUNCTION("if(isblank(B3604),,split(B3604,""-""))"),"")</f>
        <v/>
      </c>
    </row>
    <row r="3605">
      <c r="A3605" s="132"/>
      <c r="B3605" s="41"/>
      <c r="C3605" s="9"/>
      <c r="D3605" s="133"/>
      <c r="E3605" s="133"/>
      <c r="F3605" s="24"/>
      <c r="G3605" s="24"/>
      <c r="I3605" s="13" t="str">
        <f>IFERROR(__xludf.DUMMYFUNCTION("if(isblank(A3605),,split(A3605,""-""))"),"")</f>
        <v/>
      </c>
      <c r="K3605" s="13" t="str">
        <f>IFERROR(__xludf.DUMMYFUNCTION("if(isblank(B3605),,split(B3605,""-""))"),"")</f>
        <v/>
      </c>
    </row>
    <row r="3606">
      <c r="A3606" s="132"/>
      <c r="B3606" s="41"/>
      <c r="C3606" s="9"/>
      <c r="D3606" s="133"/>
      <c r="E3606" s="133"/>
      <c r="F3606" s="24"/>
      <c r="G3606" s="24"/>
      <c r="I3606" s="13" t="str">
        <f>IFERROR(__xludf.DUMMYFUNCTION("if(isblank(A3606),,split(A3606,""-""))"),"")</f>
        <v/>
      </c>
      <c r="K3606" s="13" t="str">
        <f>IFERROR(__xludf.DUMMYFUNCTION("if(isblank(B3606),,split(B3606,""-""))"),"")</f>
        <v/>
      </c>
    </row>
    <row r="3607">
      <c r="A3607" s="132"/>
      <c r="B3607" s="41"/>
      <c r="C3607" s="9"/>
      <c r="D3607" s="133"/>
      <c r="E3607" s="133"/>
      <c r="F3607" s="24"/>
      <c r="G3607" s="24"/>
      <c r="I3607" s="13" t="str">
        <f>IFERROR(__xludf.DUMMYFUNCTION("if(isblank(A3607),,split(A3607,""-""))"),"")</f>
        <v/>
      </c>
      <c r="K3607" s="13" t="str">
        <f>IFERROR(__xludf.DUMMYFUNCTION("if(isblank(B3607),,split(B3607,""-""))"),"")</f>
        <v/>
      </c>
    </row>
    <row r="3608">
      <c r="A3608" s="132"/>
      <c r="B3608" s="41"/>
      <c r="C3608" s="9"/>
      <c r="D3608" s="133"/>
      <c r="E3608" s="133"/>
      <c r="F3608" s="24"/>
      <c r="G3608" s="24"/>
      <c r="I3608" s="13" t="str">
        <f>IFERROR(__xludf.DUMMYFUNCTION("if(isblank(A3608),,split(A3608,""-""))"),"")</f>
        <v/>
      </c>
      <c r="K3608" s="13" t="str">
        <f>IFERROR(__xludf.DUMMYFUNCTION("if(isblank(B3608),,split(B3608,""-""))"),"")</f>
        <v/>
      </c>
    </row>
    <row r="3609">
      <c r="A3609" s="132"/>
      <c r="B3609" s="41"/>
      <c r="C3609" s="9"/>
      <c r="D3609" s="133"/>
      <c r="E3609" s="133"/>
      <c r="F3609" s="24"/>
      <c r="G3609" s="24"/>
      <c r="I3609" s="13" t="str">
        <f>IFERROR(__xludf.DUMMYFUNCTION("if(isblank(A3609),,split(A3609,""-""))"),"")</f>
        <v/>
      </c>
      <c r="K3609" s="13" t="str">
        <f>IFERROR(__xludf.DUMMYFUNCTION("if(isblank(B3609),,split(B3609,""-""))"),"")</f>
        <v/>
      </c>
    </row>
    <row r="3610">
      <c r="A3610" s="132"/>
      <c r="B3610" s="41"/>
      <c r="C3610" s="9"/>
      <c r="D3610" s="133"/>
      <c r="E3610" s="133"/>
      <c r="F3610" s="24"/>
      <c r="G3610" s="24"/>
      <c r="I3610" s="13" t="str">
        <f>IFERROR(__xludf.DUMMYFUNCTION("if(isblank(A3610),,split(A3610,""-""))"),"")</f>
        <v/>
      </c>
      <c r="K3610" s="13" t="str">
        <f>IFERROR(__xludf.DUMMYFUNCTION("if(isblank(B3610),,split(B3610,""-""))"),"")</f>
        <v/>
      </c>
    </row>
    <row r="3611">
      <c r="A3611" s="132"/>
      <c r="B3611" s="41"/>
      <c r="C3611" s="9"/>
      <c r="D3611" s="133"/>
      <c r="E3611" s="133"/>
      <c r="F3611" s="24"/>
      <c r="G3611" s="24"/>
      <c r="I3611" s="13" t="str">
        <f>IFERROR(__xludf.DUMMYFUNCTION("if(isblank(A3611),,split(A3611,""-""))"),"")</f>
        <v/>
      </c>
      <c r="K3611" s="13" t="str">
        <f>IFERROR(__xludf.DUMMYFUNCTION("if(isblank(B3611),,split(B3611,""-""))"),"")</f>
        <v/>
      </c>
    </row>
    <row r="3612">
      <c r="A3612" s="132"/>
      <c r="B3612" s="41"/>
      <c r="C3612" s="9"/>
      <c r="D3612" s="133"/>
      <c r="E3612" s="133"/>
      <c r="F3612" s="24"/>
      <c r="G3612" s="24"/>
      <c r="I3612" s="13" t="str">
        <f>IFERROR(__xludf.DUMMYFUNCTION("if(isblank(A3612),,split(A3612,""-""))"),"")</f>
        <v/>
      </c>
      <c r="K3612" s="13" t="str">
        <f>IFERROR(__xludf.DUMMYFUNCTION("if(isblank(B3612),,split(B3612,""-""))"),"")</f>
        <v/>
      </c>
    </row>
    <row r="3613">
      <c r="A3613" s="132"/>
      <c r="B3613" s="41"/>
      <c r="C3613" s="9"/>
      <c r="D3613" s="133"/>
      <c r="E3613" s="133"/>
      <c r="F3613" s="24"/>
      <c r="G3613" s="24"/>
      <c r="I3613" s="13" t="str">
        <f>IFERROR(__xludf.DUMMYFUNCTION("if(isblank(A3613),,split(A3613,""-""))"),"")</f>
        <v/>
      </c>
      <c r="K3613" s="13" t="str">
        <f>IFERROR(__xludf.DUMMYFUNCTION("if(isblank(B3613),,split(B3613,""-""))"),"")</f>
        <v/>
      </c>
    </row>
    <row r="3614">
      <c r="A3614" s="132"/>
      <c r="B3614" s="41"/>
      <c r="C3614" s="9"/>
      <c r="D3614" s="133"/>
      <c r="E3614" s="133"/>
      <c r="F3614" s="24"/>
      <c r="G3614" s="24"/>
      <c r="I3614" s="13" t="str">
        <f>IFERROR(__xludf.DUMMYFUNCTION("if(isblank(A3614),,split(A3614,""-""))"),"")</f>
        <v/>
      </c>
      <c r="K3614" s="13" t="str">
        <f>IFERROR(__xludf.DUMMYFUNCTION("if(isblank(B3614),,split(B3614,""-""))"),"")</f>
        <v/>
      </c>
    </row>
    <row r="3615">
      <c r="A3615" s="132"/>
      <c r="B3615" s="41"/>
      <c r="C3615" s="9"/>
      <c r="D3615" s="133"/>
      <c r="E3615" s="133"/>
      <c r="F3615" s="24"/>
      <c r="G3615" s="24"/>
      <c r="I3615" s="13" t="str">
        <f>IFERROR(__xludf.DUMMYFUNCTION("if(isblank(A3615),,split(A3615,""-""))"),"")</f>
        <v/>
      </c>
      <c r="K3615" s="13" t="str">
        <f>IFERROR(__xludf.DUMMYFUNCTION("if(isblank(B3615),,split(B3615,""-""))"),"")</f>
        <v/>
      </c>
    </row>
    <row r="3616">
      <c r="A3616" s="132"/>
      <c r="B3616" s="41"/>
      <c r="C3616" s="9"/>
      <c r="D3616" s="133"/>
      <c r="E3616" s="133"/>
      <c r="F3616" s="24"/>
      <c r="G3616" s="24"/>
      <c r="I3616" s="13" t="str">
        <f>IFERROR(__xludf.DUMMYFUNCTION("if(isblank(A3616),,split(A3616,""-""))"),"")</f>
        <v/>
      </c>
      <c r="K3616" s="13" t="str">
        <f>IFERROR(__xludf.DUMMYFUNCTION("if(isblank(B3616),,split(B3616,""-""))"),"")</f>
        <v/>
      </c>
    </row>
    <row r="3617">
      <c r="A3617" s="132"/>
      <c r="B3617" s="41"/>
      <c r="C3617" s="9"/>
      <c r="D3617" s="133"/>
      <c r="E3617" s="133"/>
      <c r="F3617" s="24"/>
      <c r="G3617" s="24"/>
      <c r="I3617" s="13" t="str">
        <f>IFERROR(__xludf.DUMMYFUNCTION("if(isblank(A3617),,split(A3617,""-""))"),"")</f>
        <v/>
      </c>
      <c r="K3617" s="13" t="str">
        <f>IFERROR(__xludf.DUMMYFUNCTION("if(isblank(B3617),,split(B3617,""-""))"),"")</f>
        <v/>
      </c>
    </row>
    <row r="3618">
      <c r="A3618" s="132"/>
      <c r="B3618" s="41"/>
      <c r="C3618" s="9"/>
      <c r="D3618" s="133"/>
      <c r="E3618" s="133"/>
      <c r="F3618" s="24"/>
      <c r="G3618" s="24"/>
      <c r="I3618" s="13" t="str">
        <f>IFERROR(__xludf.DUMMYFUNCTION("if(isblank(A3618),,split(A3618,""-""))"),"")</f>
        <v/>
      </c>
      <c r="K3618" s="13" t="str">
        <f>IFERROR(__xludf.DUMMYFUNCTION("if(isblank(B3618),,split(B3618,""-""))"),"")</f>
        <v/>
      </c>
    </row>
    <row r="3619">
      <c r="A3619" s="132"/>
      <c r="B3619" s="41"/>
      <c r="C3619" s="9"/>
      <c r="D3619" s="133"/>
      <c r="E3619" s="133"/>
      <c r="F3619" s="24"/>
      <c r="G3619" s="24"/>
      <c r="I3619" s="13" t="str">
        <f>IFERROR(__xludf.DUMMYFUNCTION("if(isblank(A3619),,split(A3619,""-""))"),"")</f>
        <v/>
      </c>
      <c r="K3619" s="13" t="str">
        <f>IFERROR(__xludf.DUMMYFUNCTION("if(isblank(B3619),,split(B3619,""-""))"),"")</f>
        <v/>
      </c>
    </row>
    <row r="3620">
      <c r="A3620" s="132"/>
      <c r="B3620" s="41"/>
      <c r="C3620" s="9"/>
      <c r="D3620" s="133"/>
      <c r="E3620" s="133"/>
      <c r="F3620" s="24"/>
      <c r="G3620" s="24"/>
      <c r="I3620" s="13" t="str">
        <f>IFERROR(__xludf.DUMMYFUNCTION("if(isblank(A3620),,split(A3620,""-""))"),"")</f>
        <v/>
      </c>
      <c r="K3620" s="13" t="str">
        <f>IFERROR(__xludf.DUMMYFUNCTION("if(isblank(B3620),,split(B3620,""-""))"),"")</f>
        <v/>
      </c>
    </row>
    <row r="3621">
      <c r="A3621" s="132"/>
      <c r="B3621" s="41"/>
      <c r="C3621" s="9"/>
      <c r="D3621" s="133"/>
      <c r="E3621" s="133"/>
      <c r="F3621" s="24"/>
      <c r="G3621" s="24"/>
      <c r="I3621" s="13" t="str">
        <f>IFERROR(__xludf.DUMMYFUNCTION("if(isblank(A3621),,split(A3621,""-""))"),"")</f>
        <v/>
      </c>
      <c r="K3621" s="13" t="str">
        <f>IFERROR(__xludf.DUMMYFUNCTION("if(isblank(B3621),,split(B3621,""-""))"),"")</f>
        <v/>
      </c>
    </row>
    <row r="3622">
      <c r="A3622" s="132"/>
      <c r="B3622" s="41"/>
      <c r="C3622" s="9"/>
      <c r="D3622" s="133"/>
      <c r="E3622" s="133"/>
      <c r="F3622" s="24"/>
      <c r="G3622" s="24"/>
      <c r="I3622" s="13" t="str">
        <f>IFERROR(__xludf.DUMMYFUNCTION("if(isblank(A3622),,split(A3622,""-""))"),"")</f>
        <v/>
      </c>
      <c r="K3622" s="13" t="str">
        <f>IFERROR(__xludf.DUMMYFUNCTION("if(isblank(B3622),,split(B3622,""-""))"),"")</f>
        <v/>
      </c>
    </row>
    <row r="3623">
      <c r="A3623" s="132"/>
      <c r="B3623" s="41"/>
      <c r="C3623" s="9"/>
      <c r="D3623" s="133"/>
      <c r="E3623" s="133"/>
      <c r="F3623" s="24"/>
      <c r="G3623" s="24"/>
      <c r="I3623" s="13" t="str">
        <f>IFERROR(__xludf.DUMMYFUNCTION("if(isblank(A3623),,split(A3623,""-""))"),"")</f>
        <v/>
      </c>
      <c r="K3623" s="13" t="str">
        <f>IFERROR(__xludf.DUMMYFUNCTION("if(isblank(B3623),,split(B3623,""-""))"),"")</f>
        <v/>
      </c>
    </row>
    <row r="3624">
      <c r="A3624" s="132"/>
      <c r="B3624" s="41"/>
      <c r="C3624" s="9"/>
      <c r="D3624" s="133"/>
      <c r="E3624" s="133"/>
      <c r="F3624" s="24"/>
      <c r="G3624" s="24"/>
      <c r="I3624" s="13" t="str">
        <f>IFERROR(__xludf.DUMMYFUNCTION("if(isblank(A3624),,split(A3624,""-""))"),"")</f>
        <v/>
      </c>
      <c r="K3624" s="13" t="str">
        <f>IFERROR(__xludf.DUMMYFUNCTION("if(isblank(B3624),,split(B3624,""-""))"),"")</f>
        <v/>
      </c>
    </row>
    <row r="3625">
      <c r="A3625" s="132"/>
      <c r="B3625" s="41"/>
      <c r="C3625" s="9"/>
      <c r="D3625" s="133"/>
      <c r="E3625" s="133"/>
      <c r="F3625" s="24"/>
      <c r="G3625" s="24"/>
      <c r="I3625" s="13" t="str">
        <f>IFERROR(__xludf.DUMMYFUNCTION("if(isblank(A3625),,split(A3625,""-""))"),"")</f>
        <v/>
      </c>
      <c r="K3625" s="13" t="str">
        <f>IFERROR(__xludf.DUMMYFUNCTION("if(isblank(B3625),,split(B3625,""-""))"),"")</f>
        <v/>
      </c>
    </row>
    <row r="3626">
      <c r="A3626" s="132"/>
      <c r="B3626" s="41"/>
      <c r="C3626" s="9"/>
      <c r="D3626" s="133"/>
      <c r="E3626" s="133"/>
      <c r="F3626" s="24"/>
      <c r="G3626" s="24"/>
      <c r="I3626" s="13" t="str">
        <f>IFERROR(__xludf.DUMMYFUNCTION("if(isblank(A3626),,split(A3626,""-""))"),"")</f>
        <v/>
      </c>
      <c r="K3626" s="13" t="str">
        <f>IFERROR(__xludf.DUMMYFUNCTION("if(isblank(B3626),,split(B3626,""-""))"),"")</f>
        <v/>
      </c>
    </row>
    <row r="3627">
      <c r="A3627" s="132"/>
      <c r="B3627" s="41"/>
      <c r="C3627" s="9"/>
      <c r="D3627" s="133"/>
      <c r="E3627" s="133"/>
      <c r="F3627" s="24"/>
      <c r="G3627" s="24"/>
      <c r="I3627" s="13" t="str">
        <f>IFERROR(__xludf.DUMMYFUNCTION("if(isblank(A3627),,split(A3627,""-""))"),"")</f>
        <v/>
      </c>
      <c r="K3627" s="13" t="str">
        <f>IFERROR(__xludf.DUMMYFUNCTION("if(isblank(B3627),,split(B3627,""-""))"),"")</f>
        <v/>
      </c>
    </row>
    <row r="3628">
      <c r="A3628" s="132"/>
      <c r="B3628" s="41"/>
      <c r="C3628" s="9"/>
      <c r="D3628" s="133"/>
      <c r="E3628" s="133"/>
      <c r="F3628" s="24"/>
      <c r="G3628" s="24"/>
      <c r="I3628" s="13" t="str">
        <f>IFERROR(__xludf.DUMMYFUNCTION("if(isblank(A3628),,split(A3628,""-""))"),"")</f>
        <v/>
      </c>
      <c r="K3628" s="13" t="str">
        <f>IFERROR(__xludf.DUMMYFUNCTION("if(isblank(B3628),,split(B3628,""-""))"),"")</f>
        <v/>
      </c>
    </row>
    <row r="3629">
      <c r="A3629" s="132"/>
      <c r="B3629" s="41"/>
      <c r="C3629" s="9"/>
      <c r="D3629" s="133"/>
      <c r="E3629" s="133"/>
      <c r="F3629" s="24"/>
      <c r="G3629" s="24"/>
      <c r="I3629" s="13" t="str">
        <f>IFERROR(__xludf.DUMMYFUNCTION("if(isblank(A3629),,split(A3629,""-""))"),"")</f>
        <v/>
      </c>
      <c r="K3629" s="13" t="str">
        <f>IFERROR(__xludf.DUMMYFUNCTION("if(isblank(B3629),,split(B3629,""-""))"),"")</f>
        <v/>
      </c>
    </row>
    <row r="3630">
      <c r="A3630" s="132"/>
      <c r="B3630" s="41"/>
      <c r="C3630" s="9"/>
      <c r="D3630" s="133"/>
      <c r="E3630" s="133"/>
      <c r="F3630" s="24"/>
      <c r="G3630" s="24"/>
      <c r="I3630" s="13" t="str">
        <f>IFERROR(__xludf.DUMMYFUNCTION("if(isblank(A3630),,split(A3630,""-""))"),"")</f>
        <v/>
      </c>
      <c r="K3630" s="13" t="str">
        <f>IFERROR(__xludf.DUMMYFUNCTION("if(isblank(B3630),,split(B3630,""-""))"),"")</f>
        <v/>
      </c>
    </row>
    <row r="3631">
      <c r="A3631" s="132"/>
      <c r="B3631" s="41"/>
      <c r="C3631" s="9"/>
      <c r="D3631" s="133"/>
      <c r="E3631" s="133"/>
      <c r="F3631" s="24"/>
      <c r="G3631" s="24"/>
      <c r="I3631" s="13" t="str">
        <f>IFERROR(__xludf.DUMMYFUNCTION("if(isblank(A3631),,split(A3631,""-""))"),"")</f>
        <v/>
      </c>
      <c r="K3631" s="13" t="str">
        <f>IFERROR(__xludf.DUMMYFUNCTION("if(isblank(B3631),,split(B3631,""-""))"),"")</f>
        <v/>
      </c>
    </row>
    <row r="3632">
      <c r="A3632" s="132"/>
      <c r="B3632" s="41"/>
      <c r="C3632" s="9"/>
      <c r="D3632" s="133"/>
      <c r="E3632" s="133"/>
      <c r="F3632" s="24"/>
      <c r="G3632" s="24"/>
      <c r="I3632" s="13" t="str">
        <f>IFERROR(__xludf.DUMMYFUNCTION("if(isblank(A3632),,split(A3632,""-""))"),"")</f>
        <v/>
      </c>
      <c r="K3632" s="13" t="str">
        <f>IFERROR(__xludf.DUMMYFUNCTION("if(isblank(B3632),,split(B3632,""-""))"),"")</f>
        <v/>
      </c>
    </row>
    <row r="3633">
      <c r="A3633" s="132"/>
      <c r="B3633" s="41"/>
      <c r="C3633" s="9"/>
      <c r="D3633" s="133"/>
      <c r="E3633" s="133"/>
      <c r="F3633" s="24"/>
      <c r="G3633" s="24"/>
      <c r="I3633" s="13" t="str">
        <f>IFERROR(__xludf.DUMMYFUNCTION("if(isblank(A3633),,split(A3633,""-""))"),"")</f>
        <v/>
      </c>
      <c r="K3633" s="13" t="str">
        <f>IFERROR(__xludf.DUMMYFUNCTION("if(isblank(B3633),,split(B3633,""-""))"),"")</f>
        <v/>
      </c>
    </row>
    <row r="3634">
      <c r="A3634" s="132"/>
      <c r="B3634" s="41"/>
      <c r="C3634" s="9"/>
      <c r="D3634" s="133"/>
      <c r="E3634" s="133"/>
      <c r="F3634" s="24"/>
      <c r="G3634" s="24"/>
      <c r="I3634" s="13" t="str">
        <f>IFERROR(__xludf.DUMMYFUNCTION("if(isblank(A3634),,split(A3634,""-""))"),"")</f>
        <v/>
      </c>
      <c r="K3634" s="13" t="str">
        <f>IFERROR(__xludf.DUMMYFUNCTION("if(isblank(B3634),,split(B3634,""-""))"),"")</f>
        <v/>
      </c>
    </row>
    <row r="3635">
      <c r="A3635" s="132"/>
      <c r="B3635" s="41"/>
      <c r="C3635" s="9"/>
      <c r="D3635" s="133"/>
      <c r="E3635" s="133"/>
      <c r="F3635" s="24"/>
      <c r="G3635" s="24"/>
      <c r="I3635" s="13" t="str">
        <f>IFERROR(__xludf.DUMMYFUNCTION("if(isblank(A3635),,split(A3635,""-""))"),"")</f>
        <v/>
      </c>
      <c r="K3635" s="13" t="str">
        <f>IFERROR(__xludf.DUMMYFUNCTION("if(isblank(B3635),,split(B3635,""-""))"),"")</f>
        <v/>
      </c>
    </row>
    <row r="3636">
      <c r="A3636" s="132"/>
      <c r="B3636" s="41"/>
      <c r="C3636" s="9"/>
      <c r="D3636" s="133"/>
      <c r="E3636" s="133"/>
      <c r="F3636" s="24"/>
      <c r="G3636" s="24"/>
      <c r="I3636" s="13" t="str">
        <f>IFERROR(__xludf.DUMMYFUNCTION("if(isblank(A3636),,split(A3636,""-""))"),"")</f>
        <v/>
      </c>
      <c r="K3636" s="13" t="str">
        <f>IFERROR(__xludf.DUMMYFUNCTION("if(isblank(B3636),,split(B3636,""-""))"),"")</f>
        <v/>
      </c>
    </row>
    <row r="3637">
      <c r="A3637" s="132"/>
      <c r="B3637" s="41"/>
      <c r="C3637" s="9"/>
      <c r="D3637" s="133"/>
      <c r="E3637" s="133"/>
      <c r="F3637" s="24"/>
      <c r="G3637" s="24"/>
      <c r="I3637" s="13" t="str">
        <f>IFERROR(__xludf.DUMMYFUNCTION("if(isblank(A3637),,split(A3637,""-""))"),"")</f>
        <v/>
      </c>
      <c r="K3637" s="13" t="str">
        <f>IFERROR(__xludf.DUMMYFUNCTION("if(isblank(B3637),,split(B3637,""-""))"),"")</f>
        <v/>
      </c>
    </row>
    <row r="3638">
      <c r="A3638" s="132"/>
      <c r="B3638" s="41"/>
      <c r="C3638" s="9"/>
      <c r="D3638" s="133"/>
      <c r="E3638" s="133"/>
      <c r="F3638" s="24"/>
      <c r="G3638" s="24"/>
      <c r="I3638" s="13" t="str">
        <f>IFERROR(__xludf.DUMMYFUNCTION("if(isblank(A3638),,split(A3638,""-""))"),"")</f>
        <v/>
      </c>
      <c r="K3638" s="13" t="str">
        <f>IFERROR(__xludf.DUMMYFUNCTION("if(isblank(B3638),,split(B3638,""-""))"),"")</f>
        <v/>
      </c>
    </row>
    <row r="3639">
      <c r="A3639" s="132"/>
      <c r="B3639" s="41"/>
      <c r="C3639" s="9"/>
      <c r="D3639" s="133"/>
      <c r="E3639" s="133"/>
      <c r="F3639" s="24"/>
      <c r="G3639" s="24"/>
      <c r="I3639" s="13" t="str">
        <f>IFERROR(__xludf.DUMMYFUNCTION("if(isblank(A3639),,split(A3639,""-""))"),"")</f>
        <v/>
      </c>
      <c r="K3639" s="13" t="str">
        <f>IFERROR(__xludf.DUMMYFUNCTION("if(isblank(B3639),,split(B3639,""-""))"),"")</f>
        <v/>
      </c>
    </row>
    <row r="3640">
      <c r="A3640" s="132"/>
      <c r="B3640" s="41"/>
      <c r="C3640" s="9"/>
      <c r="D3640" s="133"/>
      <c r="E3640" s="133"/>
      <c r="F3640" s="24"/>
      <c r="G3640" s="24"/>
      <c r="I3640" s="13" t="str">
        <f>IFERROR(__xludf.DUMMYFUNCTION("if(isblank(A3640),,split(A3640,""-""))"),"")</f>
        <v/>
      </c>
      <c r="K3640" s="13" t="str">
        <f>IFERROR(__xludf.DUMMYFUNCTION("if(isblank(B3640),,split(B3640,""-""))"),"")</f>
        <v/>
      </c>
    </row>
    <row r="3641">
      <c r="A3641" s="132"/>
      <c r="B3641" s="41"/>
      <c r="C3641" s="9"/>
      <c r="D3641" s="133"/>
      <c r="E3641" s="133"/>
      <c r="F3641" s="24"/>
      <c r="G3641" s="24"/>
      <c r="I3641" s="13" t="str">
        <f>IFERROR(__xludf.DUMMYFUNCTION("if(isblank(A3641),,split(A3641,""-""))"),"")</f>
        <v/>
      </c>
      <c r="K3641" s="13" t="str">
        <f>IFERROR(__xludf.DUMMYFUNCTION("if(isblank(B3641),,split(B3641,""-""))"),"")</f>
        <v/>
      </c>
    </row>
    <row r="3642">
      <c r="A3642" s="132"/>
      <c r="B3642" s="41"/>
      <c r="C3642" s="9"/>
      <c r="D3642" s="133"/>
      <c r="E3642" s="133"/>
      <c r="F3642" s="24"/>
      <c r="G3642" s="24"/>
      <c r="I3642" s="13" t="str">
        <f>IFERROR(__xludf.DUMMYFUNCTION("if(isblank(A3642),,split(A3642,""-""))"),"")</f>
        <v/>
      </c>
      <c r="K3642" s="13" t="str">
        <f>IFERROR(__xludf.DUMMYFUNCTION("if(isblank(B3642),,split(B3642,""-""))"),"")</f>
        <v/>
      </c>
    </row>
    <row r="3643">
      <c r="A3643" s="132"/>
      <c r="B3643" s="41"/>
      <c r="C3643" s="9"/>
      <c r="D3643" s="133"/>
      <c r="E3643" s="133"/>
      <c r="F3643" s="24"/>
      <c r="G3643" s="24"/>
      <c r="I3643" s="13" t="str">
        <f>IFERROR(__xludf.DUMMYFUNCTION("if(isblank(A3643),,split(A3643,""-""))"),"")</f>
        <v/>
      </c>
      <c r="K3643" s="13" t="str">
        <f>IFERROR(__xludf.DUMMYFUNCTION("if(isblank(B3643),,split(B3643,""-""))"),"")</f>
        <v/>
      </c>
    </row>
    <row r="3644">
      <c r="A3644" s="132"/>
      <c r="B3644" s="41"/>
      <c r="C3644" s="9"/>
      <c r="D3644" s="133"/>
      <c r="E3644" s="133"/>
      <c r="F3644" s="24"/>
      <c r="G3644" s="24"/>
      <c r="I3644" s="13" t="str">
        <f>IFERROR(__xludf.DUMMYFUNCTION("if(isblank(A3644),,split(A3644,""-""))"),"")</f>
        <v/>
      </c>
      <c r="K3644" s="13" t="str">
        <f>IFERROR(__xludf.DUMMYFUNCTION("if(isblank(B3644),,split(B3644,""-""))"),"")</f>
        <v/>
      </c>
    </row>
    <row r="3645">
      <c r="A3645" s="132"/>
      <c r="B3645" s="41"/>
      <c r="C3645" s="9"/>
      <c r="D3645" s="133"/>
      <c r="E3645" s="133"/>
      <c r="F3645" s="24"/>
      <c r="G3645" s="24"/>
      <c r="I3645" s="13" t="str">
        <f>IFERROR(__xludf.DUMMYFUNCTION("if(isblank(A3645),,split(A3645,""-""))"),"")</f>
        <v/>
      </c>
      <c r="K3645" s="13" t="str">
        <f>IFERROR(__xludf.DUMMYFUNCTION("if(isblank(B3645),,split(B3645,""-""))"),"")</f>
        <v/>
      </c>
    </row>
    <row r="3646">
      <c r="A3646" s="132"/>
      <c r="B3646" s="41"/>
      <c r="C3646" s="9"/>
      <c r="D3646" s="133"/>
      <c r="E3646" s="133"/>
      <c r="F3646" s="24"/>
      <c r="G3646" s="24"/>
      <c r="I3646" s="13" t="str">
        <f>IFERROR(__xludf.DUMMYFUNCTION("if(isblank(A3646),,split(A3646,""-""))"),"")</f>
        <v/>
      </c>
      <c r="K3646" s="13" t="str">
        <f>IFERROR(__xludf.DUMMYFUNCTION("if(isblank(B3646),,split(B3646,""-""))"),"")</f>
        <v/>
      </c>
    </row>
    <row r="3647">
      <c r="A3647" s="132"/>
      <c r="B3647" s="41"/>
      <c r="C3647" s="9"/>
      <c r="D3647" s="133"/>
      <c r="E3647" s="133"/>
      <c r="F3647" s="24"/>
      <c r="G3647" s="24"/>
      <c r="I3647" s="13" t="str">
        <f>IFERROR(__xludf.DUMMYFUNCTION("if(isblank(A3647),,split(A3647,""-""))"),"")</f>
        <v/>
      </c>
      <c r="K3647" s="13" t="str">
        <f>IFERROR(__xludf.DUMMYFUNCTION("if(isblank(B3647),,split(B3647,""-""))"),"")</f>
        <v/>
      </c>
    </row>
    <row r="3648">
      <c r="A3648" s="132"/>
      <c r="B3648" s="41"/>
      <c r="C3648" s="9"/>
      <c r="D3648" s="133"/>
      <c r="E3648" s="133"/>
      <c r="F3648" s="24"/>
      <c r="G3648" s="24"/>
      <c r="I3648" s="13" t="str">
        <f>IFERROR(__xludf.DUMMYFUNCTION("if(isblank(A3648),,split(A3648,""-""))"),"")</f>
        <v/>
      </c>
      <c r="K3648" s="13" t="str">
        <f>IFERROR(__xludf.DUMMYFUNCTION("if(isblank(B3648),,split(B3648,""-""))"),"")</f>
        <v/>
      </c>
    </row>
    <row r="3649">
      <c r="A3649" s="132"/>
      <c r="B3649" s="41"/>
      <c r="C3649" s="9"/>
      <c r="D3649" s="133"/>
      <c r="E3649" s="133"/>
      <c r="F3649" s="24"/>
      <c r="G3649" s="24"/>
      <c r="I3649" s="13" t="str">
        <f>IFERROR(__xludf.DUMMYFUNCTION("if(isblank(A3649),,split(A3649,""-""))"),"")</f>
        <v/>
      </c>
      <c r="K3649" s="13" t="str">
        <f>IFERROR(__xludf.DUMMYFUNCTION("if(isblank(B3649),,split(B3649,""-""))"),"")</f>
        <v/>
      </c>
    </row>
    <row r="3650">
      <c r="A3650" s="132"/>
      <c r="B3650" s="41"/>
      <c r="C3650" s="9"/>
      <c r="D3650" s="133"/>
      <c r="E3650" s="133"/>
      <c r="F3650" s="24"/>
      <c r="G3650" s="24"/>
      <c r="I3650" s="13" t="str">
        <f>IFERROR(__xludf.DUMMYFUNCTION("if(isblank(A3650),,split(A3650,""-""))"),"")</f>
        <v/>
      </c>
      <c r="K3650" s="13" t="str">
        <f>IFERROR(__xludf.DUMMYFUNCTION("if(isblank(B3650),,split(B3650,""-""))"),"")</f>
        <v/>
      </c>
    </row>
    <row r="3651">
      <c r="A3651" s="132"/>
      <c r="B3651" s="41"/>
      <c r="C3651" s="9"/>
      <c r="D3651" s="133"/>
      <c r="E3651" s="133"/>
      <c r="F3651" s="24"/>
      <c r="G3651" s="24"/>
      <c r="I3651" s="13" t="str">
        <f>IFERROR(__xludf.DUMMYFUNCTION("if(isblank(A3651),,split(A3651,""-""))"),"")</f>
        <v/>
      </c>
      <c r="K3651" s="13" t="str">
        <f>IFERROR(__xludf.DUMMYFUNCTION("if(isblank(B3651),,split(B3651,""-""))"),"")</f>
        <v/>
      </c>
    </row>
    <row r="3652">
      <c r="A3652" s="132"/>
      <c r="B3652" s="41"/>
      <c r="C3652" s="9"/>
      <c r="D3652" s="133"/>
      <c r="E3652" s="133"/>
      <c r="F3652" s="24"/>
      <c r="G3652" s="24"/>
      <c r="I3652" s="13" t="str">
        <f>IFERROR(__xludf.DUMMYFUNCTION("if(isblank(A3652),,split(A3652,""-""))"),"")</f>
        <v/>
      </c>
      <c r="K3652" s="13" t="str">
        <f>IFERROR(__xludf.DUMMYFUNCTION("if(isblank(B3652),,split(B3652,""-""))"),"")</f>
        <v/>
      </c>
    </row>
    <row r="3653">
      <c r="A3653" s="132"/>
      <c r="B3653" s="41"/>
      <c r="C3653" s="9"/>
      <c r="D3653" s="133"/>
      <c r="E3653" s="133"/>
      <c r="F3653" s="24"/>
      <c r="G3653" s="24"/>
      <c r="I3653" s="13" t="str">
        <f>IFERROR(__xludf.DUMMYFUNCTION("if(isblank(A3653),,split(A3653,""-""))"),"")</f>
        <v/>
      </c>
      <c r="K3653" s="13" t="str">
        <f>IFERROR(__xludf.DUMMYFUNCTION("if(isblank(B3653),,split(B3653,""-""))"),"")</f>
        <v/>
      </c>
    </row>
    <row r="3654">
      <c r="A3654" s="132"/>
      <c r="B3654" s="41"/>
      <c r="C3654" s="9"/>
      <c r="D3654" s="133"/>
      <c r="E3654" s="133"/>
      <c r="F3654" s="24"/>
      <c r="G3654" s="24"/>
      <c r="I3654" s="13" t="str">
        <f>IFERROR(__xludf.DUMMYFUNCTION("if(isblank(A3654),,split(A3654,""-""))"),"")</f>
        <v/>
      </c>
      <c r="K3654" s="13" t="str">
        <f>IFERROR(__xludf.DUMMYFUNCTION("if(isblank(B3654),,split(B3654,""-""))"),"")</f>
        <v/>
      </c>
    </row>
    <row r="3655">
      <c r="A3655" s="132"/>
      <c r="B3655" s="41"/>
      <c r="C3655" s="9"/>
      <c r="D3655" s="133"/>
      <c r="E3655" s="133"/>
      <c r="F3655" s="24"/>
      <c r="G3655" s="24"/>
      <c r="I3655" s="13" t="str">
        <f>IFERROR(__xludf.DUMMYFUNCTION("if(isblank(A3655),,split(A3655,""-""))"),"")</f>
        <v/>
      </c>
      <c r="K3655" s="13" t="str">
        <f>IFERROR(__xludf.DUMMYFUNCTION("if(isblank(B3655),,split(B3655,""-""))"),"")</f>
        <v/>
      </c>
    </row>
    <row r="3656">
      <c r="A3656" s="132"/>
      <c r="B3656" s="41"/>
      <c r="C3656" s="9"/>
      <c r="D3656" s="133"/>
      <c r="E3656" s="133"/>
      <c r="F3656" s="24"/>
      <c r="G3656" s="24"/>
      <c r="I3656" s="13" t="str">
        <f>IFERROR(__xludf.DUMMYFUNCTION("if(isblank(A3656),,split(A3656,""-""))"),"")</f>
        <v/>
      </c>
      <c r="K3656" s="13" t="str">
        <f>IFERROR(__xludf.DUMMYFUNCTION("if(isblank(B3656),,split(B3656,""-""))"),"")</f>
        <v/>
      </c>
    </row>
    <row r="3657">
      <c r="A3657" s="132"/>
      <c r="B3657" s="41"/>
      <c r="C3657" s="9"/>
      <c r="D3657" s="133"/>
      <c r="E3657" s="133"/>
      <c r="F3657" s="24"/>
      <c r="G3657" s="24"/>
      <c r="I3657" s="13" t="str">
        <f>IFERROR(__xludf.DUMMYFUNCTION("if(isblank(A3657),,split(A3657,""-""))"),"")</f>
        <v/>
      </c>
      <c r="K3657" s="13" t="str">
        <f>IFERROR(__xludf.DUMMYFUNCTION("if(isblank(B3657),,split(B3657,""-""))"),"")</f>
        <v/>
      </c>
    </row>
    <row r="3658">
      <c r="A3658" s="132"/>
      <c r="B3658" s="41"/>
      <c r="C3658" s="9"/>
      <c r="D3658" s="133"/>
      <c r="E3658" s="133"/>
      <c r="F3658" s="24"/>
      <c r="G3658" s="24"/>
      <c r="I3658" s="13" t="str">
        <f>IFERROR(__xludf.DUMMYFUNCTION("if(isblank(A3658),,split(A3658,""-""))"),"")</f>
        <v/>
      </c>
      <c r="K3658" s="13" t="str">
        <f>IFERROR(__xludf.DUMMYFUNCTION("if(isblank(B3658),,split(B3658,""-""))"),"")</f>
        <v/>
      </c>
    </row>
    <row r="3659">
      <c r="A3659" s="132"/>
      <c r="B3659" s="41"/>
      <c r="C3659" s="9"/>
      <c r="D3659" s="133"/>
      <c r="E3659" s="133"/>
      <c r="F3659" s="24"/>
      <c r="G3659" s="24"/>
      <c r="I3659" s="13" t="str">
        <f>IFERROR(__xludf.DUMMYFUNCTION("if(isblank(A3659),,split(A3659,""-""))"),"")</f>
        <v/>
      </c>
      <c r="K3659" s="13" t="str">
        <f>IFERROR(__xludf.DUMMYFUNCTION("if(isblank(B3659),,split(B3659,""-""))"),"")</f>
        <v/>
      </c>
    </row>
    <row r="3660">
      <c r="A3660" s="132"/>
      <c r="B3660" s="41"/>
      <c r="C3660" s="9"/>
      <c r="D3660" s="133"/>
      <c r="E3660" s="133"/>
      <c r="F3660" s="24"/>
      <c r="G3660" s="24"/>
      <c r="I3660" s="13" t="str">
        <f>IFERROR(__xludf.DUMMYFUNCTION("if(isblank(A3660),,split(A3660,""-""))"),"")</f>
        <v/>
      </c>
      <c r="K3660" s="13" t="str">
        <f>IFERROR(__xludf.DUMMYFUNCTION("if(isblank(B3660),,split(B3660,""-""))"),"")</f>
        <v/>
      </c>
    </row>
    <row r="3661">
      <c r="A3661" s="132"/>
      <c r="B3661" s="41"/>
      <c r="C3661" s="9"/>
      <c r="D3661" s="133"/>
      <c r="E3661" s="133"/>
      <c r="F3661" s="24"/>
      <c r="G3661" s="24"/>
      <c r="I3661" s="13" t="str">
        <f>IFERROR(__xludf.DUMMYFUNCTION("if(isblank(A3661),,split(A3661,""-""))"),"")</f>
        <v/>
      </c>
      <c r="K3661" s="13" t="str">
        <f>IFERROR(__xludf.DUMMYFUNCTION("if(isblank(B3661),,split(B3661,""-""))"),"")</f>
        <v/>
      </c>
    </row>
    <row r="3662">
      <c r="A3662" s="132"/>
      <c r="B3662" s="41"/>
      <c r="C3662" s="9"/>
      <c r="D3662" s="133"/>
      <c r="E3662" s="133"/>
      <c r="F3662" s="24"/>
      <c r="G3662" s="24"/>
      <c r="I3662" s="13" t="str">
        <f>IFERROR(__xludf.DUMMYFUNCTION("if(isblank(A3662),,split(A3662,""-""))"),"")</f>
        <v/>
      </c>
      <c r="K3662" s="13" t="str">
        <f>IFERROR(__xludf.DUMMYFUNCTION("if(isblank(B3662),,split(B3662,""-""))"),"")</f>
        <v/>
      </c>
    </row>
    <row r="3663">
      <c r="A3663" s="132"/>
      <c r="B3663" s="41"/>
      <c r="C3663" s="9"/>
      <c r="D3663" s="133"/>
      <c r="E3663" s="133"/>
      <c r="F3663" s="24"/>
      <c r="G3663" s="24"/>
      <c r="I3663" s="13" t="str">
        <f>IFERROR(__xludf.DUMMYFUNCTION("if(isblank(A3663),,split(A3663,""-""))"),"")</f>
        <v/>
      </c>
      <c r="K3663" s="13" t="str">
        <f>IFERROR(__xludf.DUMMYFUNCTION("if(isblank(B3663),,split(B3663,""-""))"),"")</f>
        <v/>
      </c>
    </row>
    <row r="3664">
      <c r="A3664" s="132"/>
      <c r="B3664" s="41"/>
      <c r="C3664" s="9"/>
      <c r="D3664" s="133"/>
      <c r="E3664" s="133"/>
      <c r="F3664" s="24"/>
      <c r="G3664" s="24"/>
      <c r="I3664" s="13" t="str">
        <f>IFERROR(__xludf.DUMMYFUNCTION("if(isblank(A3664),,split(A3664,""-""))"),"")</f>
        <v/>
      </c>
      <c r="K3664" s="13" t="str">
        <f>IFERROR(__xludf.DUMMYFUNCTION("if(isblank(B3664),,split(B3664,""-""))"),"")</f>
        <v/>
      </c>
    </row>
    <row r="3665">
      <c r="A3665" s="132"/>
      <c r="B3665" s="41"/>
      <c r="C3665" s="9"/>
      <c r="D3665" s="133"/>
      <c r="E3665" s="133"/>
      <c r="F3665" s="24"/>
      <c r="G3665" s="24"/>
      <c r="I3665" s="13" t="str">
        <f>IFERROR(__xludf.DUMMYFUNCTION("if(isblank(A3665),,split(A3665,""-""))"),"")</f>
        <v/>
      </c>
      <c r="K3665" s="13" t="str">
        <f>IFERROR(__xludf.DUMMYFUNCTION("if(isblank(B3665),,split(B3665,""-""))"),"")</f>
        <v/>
      </c>
    </row>
    <row r="3666">
      <c r="A3666" s="132"/>
      <c r="B3666" s="41"/>
      <c r="C3666" s="9"/>
      <c r="D3666" s="133"/>
      <c r="E3666" s="133"/>
      <c r="F3666" s="24"/>
      <c r="G3666" s="24"/>
      <c r="I3666" s="13" t="str">
        <f>IFERROR(__xludf.DUMMYFUNCTION("if(isblank(A3666),,split(A3666,""-""))"),"")</f>
        <v/>
      </c>
      <c r="K3666" s="13" t="str">
        <f>IFERROR(__xludf.DUMMYFUNCTION("if(isblank(B3666),,split(B3666,""-""))"),"")</f>
        <v/>
      </c>
    </row>
    <row r="3667">
      <c r="A3667" s="132"/>
      <c r="B3667" s="41"/>
      <c r="C3667" s="9"/>
      <c r="D3667" s="133"/>
      <c r="E3667" s="133"/>
      <c r="F3667" s="24"/>
      <c r="G3667" s="24"/>
      <c r="I3667" s="13" t="str">
        <f>IFERROR(__xludf.DUMMYFUNCTION("if(isblank(A3667),,split(A3667,""-""))"),"")</f>
        <v/>
      </c>
      <c r="K3667" s="13" t="str">
        <f>IFERROR(__xludf.DUMMYFUNCTION("if(isblank(B3667),,split(B3667,""-""))"),"")</f>
        <v/>
      </c>
    </row>
    <row r="3668">
      <c r="A3668" s="132"/>
      <c r="B3668" s="41"/>
      <c r="C3668" s="9"/>
      <c r="D3668" s="133"/>
      <c r="E3668" s="133"/>
      <c r="F3668" s="24"/>
      <c r="G3668" s="24"/>
      <c r="I3668" s="13" t="str">
        <f>IFERROR(__xludf.DUMMYFUNCTION("if(isblank(A3668),,split(A3668,""-""))"),"")</f>
        <v/>
      </c>
      <c r="K3668" s="13" t="str">
        <f>IFERROR(__xludf.DUMMYFUNCTION("if(isblank(B3668),,split(B3668,""-""))"),"")</f>
        <v/>
      </c>
    </row>
    <row r="3669">
      <c r="A3669" s="132"/>
      <c r="B3669" s="41"/>
      <c r="C3669" s="9"/>
      <c r="D3669" s="133"/>
      <c r="E3669" s="133"/>
      <c r="F3669" s="24"/>
      <c r="G3669" s="24"/>
      <c r="I3669" s="13" t="str">
        <f>IFERROR(__xludf.DUMMYFUNCTION("if(isblank(A3669),,split(A3669,""-""))"),"")</f>
        <v/>
      </c>
      <c r="K3669" s="13" t="str">
        <f>IFERROR(__xludf.DUMMYFUNCTION("if(isblank(B3669),,split(B3669,""-""))"),"")</f>
        <v/>
      </c>
    </row>
    <row r="3670">
      <c r="A3670" s="132"/>
      <c r="B3670" s="41"/>
      <c r="C3670" s="9"/>
      <c r="D3670" s="133"/>
      <c r="E3670" s="133"/>
      <c r="F3670" s="24"/>
      <c r="G3670" s="24"/>
      <c r="I3670" s="13" t="str">
        <f>IFERROR(__xludf.DUMMYFUNCTION("if(isblank(A3670),,split(A3670,""-""))"),"")</f>
        <v/>
      </c>
      <c r="K3670" s="13" t="str">
        <f>IFERROR(__xludf.DUMMYFUNCTION("if(isblank(B3670),,split(B3670,""-""))"),"")</f>
        <v/>
      </c>
    </row>
    <row r="3671">
      <c r="A3671" s="132"/>
      <c r="B3671" s="41"/>
      <c r="C3671" s="9"/>
      <c r="D3671" s="133"/>
      <c r="E3671" s="133"/>
      <c r="F3671" s="24"/>
      <c r="G3671" s="24"/>
      <c r="I3671" s="13" t="str">
        <f>IFERROR(__xludf.DUMMYFUNCTION("if(isblank(A3671),,split(A3671,""-""))"),"")</f>
        <v/>
      </c>
      <c r="K3671" s="13" t="str">
        <f>IFERROR(__xludf.DUMMYFUNCTION("if(isblank(B3671),,split(B3671,""-""))"),"")</f>
        <v/>
      </c>
    </row>
    <row r="3672">
      <c r="A3672" s="132"/>
      <c r="B3672" s="41"/>
      <c r="C3672" s="9"/>
      <c r="D3672" s="133"/>
      <c r="E3672" s="133"/>
      <c r="F3672" s="24"/>
      <c r="G3672" s="24"/>
      <c r="I3672" s="13" t="str">
        <f>IFERROR(__xludf.DUMMYFUNCTION("if(isblank(A3672),,split(A3672,""-""))"),"")</f>
        <v/>
      </c>
      <c r="K3672" s="13" t="str">
        <f>IFERROR(__xludf.DUMMYFUNCTION("if(isblank(B3672),,split(B3672,""-""))"),"")</f>
        <v/>
      </c>
    </row>
    <row r="3673">
      <c r="A3673" s="132"/>
      <c r="B3673" s="41"/>
      <c r="C3673" s="9"/>
      <c r="D3673" s="133"/>
      <c r="E3673" s="133"/>
      <c r="F3673" s="24"/>
      <c r="G3673" s="24"/>
      <c r="I3673" s="13" t="str">
        <f>IFERROR(__xludf.DUMMYFUNCTION("if(isblank(A3673),,split(A3673,""-""))"),"")</f>
        <v/>
      </c>
      <c r="K3673" s="13" t="str">
        <f>IFERROR(__xludf.DUMMYFUNCTION("if(isblank(B3673),,split(B3673,""-""))"),"")</f>
        <v/>
      </c>
    </row>
    <row r="3674">
      <c r="A3674" s="132"/>
      <c r="B3674" s="41"/>
      <c r="C3674" s="9"/>
      <c r="D3674" s="133"/>
      <c r="E3674" s="133"/>
      <c r="F3674" s="24"/>
      <c r="G3674" s="24"/>
      <c r="I3674" s="13" t="str">
        <f>IFERROR(__xludf.DUMMYFUNCTION("if(isblank(A3674),,split(A3674,""-""))"),"")</f>
        <v/>
      </c>
      <c r="K3674" s="13" t="str">
        <f>IFERROR(__xludf.DUMMYFUNCTION("if(isblank(B3674),,split(B3674,""-""))"),"")</f>
        <v/>
      </c>
    </row>
    <row r="3675">
      <c r="A3675" s="132"/>
      <c r="B3675" s="41"/>
      <c r="C3675" s="9"/>
      <c r="D3675" s="133"/>
      <c r="E3675" s="133"/>
      <c r="F3675" s="24"/>
      <c r="G3675" s="24"/>
      <c r="I3675" s="13" t="str">
        <f>IFERROR(__xludf.DUMMYFUNCTION("if(isblank(A3675),,split(A3675,""-""))"),"")</f>
        <v/>
      </c>
      <c r="K3675" s="13" t="str">
        <f>IFERROR(__xludf.DUMMYFUNCTION("if(isblank(B3675),,split(B3675,""-""))"),"")</f>
        <v/>
      </c>
    </row>
    <row r="3676">
      <c r="A3676" s="132"/>
      <c r="B3676" s="41"/>
      <c r="C3676" s="9"/>
      <c r="D3676" s="133"/>
      <c r="E3676" s="133"/>
      <c r="F3676" s="24"/>
      <c r="G3676" s="24"/>
      <c r="I3676" s="13" t="str">
        <f>IFERROR(__xludf.DUMMYFUNCTION("if(isblank(A3676),,split(A3676,""-""))"),"")</f>
        <v/>
      </c>
      <c r="K3676" s="13" t="str">
        <f>IFERROR(__xludf.DUMMYFUNCTION("if(isblank(B3676),,split(B3676,""-""))"),"")</f>
        <v/>
      </c>
    </row>
    <row r="3677">
      <c r="A3677" s="132"/>
      <c r="B3677" s="41"/>
      <c r="C3677" s="9"/>
      <c r="D3677" s="133"/>
      <c r="E3677" s="133"/>
      <c r="F3677" s="24"/>
      <c r="G3677" s="24"/>
      <c r="I3677" s="13" t="str">
        <f>IFERROR(__xludf.DUMMYFUNCTION("if(isblank(A3677),,split(A3677,""-""))"),"")</f>
        <v/>
      </c>
      <c r="K3677" s="13" t="str">
        <f>IFERROR(__xludf.DUMMYFUNCTION("if(isblank(B3677),,split(B3677,""-""))"),"")</f>
        <v/>
      </c>
    </row>
    <row r="3678">
      <c r="A3678" s="132"/>
      <c r="B3678" s="41"/>
      <c r="C3678" s="9"/>
      <c r="D3678" s="133"/>
      <c r="E3678" s="133"/>
      <c r="F3678" s="24"/>
      <c r="G3678" s="24"/>
      <c r="I3678" s="13" t="str">
        <f>IFERROR(__xludf.DUMMYFUNCTION("if(isblank(A3678),,split(A3678,""-""))"),"")</f>
        <v/>
      </c>
      <c r="K3678" s="13" t="str">
        <f>IFERROR(__xludf.DUMMYFUNCTION("if(isblank(B3678),,split(B3678,""-""))"),"")</f>
        <v/>
      </c>
    </row>
    <row r="3679">
      <c r="A3679" s="132"/>
      <c r="B3679" s="41"/>
      <c r="C3679" s="9"/>
      <c r="D3679" s="133"/>
      <c r="E3679" s="133"/>
      <c r="F3679" s="24"/>
      <c r="G3679" s="24"/>
      <c r="I3679" s="13" t="str">
        <f>IFERROR(__xludf.DUMMYFUNCTION("if(isblank(A3679),,split(A3679,""-""))"),"")</f>
        <v/>
      </c>
      <c r="K3679" s="13" t="str">
        <f>IFERROR(__xludf.DUMMYFUNCTION("if(isblank(B3679),,split(B3679,""-""))"),"")</f>
        <v/>
      </c>
    </row>
    <row r="3680">
      <c r="A3680" s="132"/>
      <c r="B3680" s="41"/>
      <c r="C3680" s="9"/>
      <c r="D3680" s="133"/>
      <c r="E3680" s="133"/>
      <c r="F3680" s="24"/>
      <c r="G3680" s="24"/>
      <c r="I3680" s="13" t="str">
        <f>IFERROR(__xludf.DUMMYFUNCTION("if(isblank(A3680),,split(A3680,""-""))"),"")</f>
        <v/>
      </c>
      <c r="K3680" s="13" t="str">
        <f>IFERROR(__xludf.DUMMYFUNCTION("if(isblank(B3680),,split(B3680,""-""))"),"")</f>
        <v/>
      </c>
    </row>
    <row r="3681">
      <c r="A3681" s="132"/>
      <c r="B3681" s="41"/>
      <c r="C3681" s="9"/>
      <c r="D3681" s="133"/>
      <c r="E3681" s="133"/>
      <c r="F3681" s="24"/>
      <c r="G3681" s="24"/>
      <c r="I3681" s="13" t="str">
        <f>IFERROR(__xludf.DUMMYFUNCTION("if(isblank(A3681),,split(A3681,""-""))"),"")</f>
        <v/>
      </c>
      <c r="K3681" s="13" t="str">
        <f>IFERROR(__xludf.DUMMYFUNCTION("if(isblank(B3681),,split(B3681,""-""))"),"")</f>
        <v/>
      </c>
    </row>
    <row r="3682">
      <c r="A3682" s="132"/>
      <c r="B3682" s="41"/>
      <c r="C3682" s="9"/>
      <c r="D3682" s="133"/>
      <c r="E3682" s="133"/>
      <c r="F3682" s="24"/>
      <c r="G3682" s="24"/>
      <c r="I3682" s="13" t="str">
        <f>IFERROR(__xludf.DUMMYFUNCTION("if(isblank(A3682),,split(A3682,""-""))"),"")</f>
        <v/>
      </c>
      <c r="K3682" s="13" t="str">
        <f>IFERROR(__xludf.DUMMYFUNCTION("if(isblank(B3682),,split(B3682,""-""))"),"")</f>
        <v/>
      </c>
    </row>
    <row r="3683">
      <c r="A3683" s="132"/>
      <c r="B3683" s="41"/>
      <c r="C3683" s="9"/>
      <c r="D3683" s="133"/>
      <c r="E3683" s="133"/>
      <c r="F3683" s="24"/>
      <c r="G3683" s="24"/>
      <c r="I3683" s="13" t="str">
        <f>IFERROR(__xludf.DUMMYFUNCTION("if(isblank(A3683),,split(A3683,""-""))"),"")</f>
        <v/>
      </c>
      <c r="K3683" s="13" t="str">
        <f>IFERROR(__xludf.DUMMYFUNCTION("if(isblank(B3683),,split(B3683,""-""))"),"")</f>
        <v/>
      </c>
    </row>
    <row r="3684">
      <c r="A3684" s="132"/>
      <c r="B3684" s="41"/>
      <c r="C3684" s="9"/>
      <c r="D3684" s="133"/>
      <c r="E3684" s="133"/>
      <c r="F3684" s="24"/>
      <c r="G3684" s="24"/>
      <c r="I3684" s="13" t="str">
        <f>IFERROR(__xludf.DUMMYFUNCTION("if(isblank(A3684),,split(A3684,""-""))"),"")</f>
        <v/>
      </c>
      <c r="K3684" s="13" t="str">
        <f>IFERROR(__xludf.DUMMYFUNCTION("if(isblank(B3684),,split(B3684,""-""))"),"")</f>
        <v/>
      </c>
    </row>
    <row r="3685">
      <c r="A3685" s="132"/>
      <c r="B3685" s="41"/>
      <c r="C3685" s="9"/>
      <c r="D3685" s="133"/>
      <c r="E3685" s="133"/>
      <c r="F3685" s="24"/>
      <c r="G3685" s="24"/>
      <c r="I3685" s="13" t="str">
        <f>IFERROR(__xludf.DUMMYFUNCTION("if(isblank(A3685),,split(A3685,""-""))"),"")</f>
        <v/>
      </c>
      <c r="K3685" s="13" t="str">
        <f>IFERROR(__xludf.DUMMYFUNCTION("if(isblank(B3685),,split(B3685,""-""))"),"")</f>
        <v/>
      </c>
    </row>
    <row r="3686">
      <c r="A3686" s="132"/>
      <c r="B3686" s="41"/>
      <c r="C3686" s="9"/>
      <c r="D3686" s="133"/>
      <c r="E3686" s="133"/>
      <c r="F3686" s="24"/>
      <c r="G3686" s="24"/>
      <c r="I3686" s="13" t="str">
        <f>IFERROR(__xludf.DUMMYFUNCTION("if(isblank(A3686),,split(A3686,""-""))"),"")</f>
        <v/>
      </c>
      <c r="K3686" s="13" t="str">
        <f>IFERROR(__xludf.DUMMYFUNCTION("if(isblank(B3686),,split(B3686,""-""))"),"")</f>
        <v/>
      </c>
    </row>
    <row r="3687">
      <c r="A3687" s="132"/>
      <c r="B3687" s="41"/>
      <c r="C3687" s="9"/>
      <c r="D3687" s="133"/>
      <c r="E3687" s="133"/>
      <c r="F3687" s="24"/>
      <c r="G3687" s="24"/>
      <c r="I3687" s="13" t="str">
        <f>IFERROR(__xludf.DUMMYFUNCTION("if(isblank(A3687),,split(A3687,""-""))"),"")</f>
        <v/>
      </c>
      <c r="K3687" s="13" t="str">
        <f>IFERROR(__xludf.DUMMYFUNCTION("if(isblank(B3687),,split(B3687,""-""))"),"")</f>
        <v/>
      </c>
    </row>
    <row r="3688">
      <c r="A3688" s="132"/>
      <c r="B3688" s="41"/>
      <c r="C3688" s="9"/>
      <c r="D3688" s="133"/>
      <c r="E3688" s="133"/>
      <c r="F3688" s="24"/>
      <c r="G3688" s="24"/>
      <c r="I3688" s="13" t="str">
        <f>IFERROR(__xludf.DUMMYFUNCTION("if(isblank(A3688),,split(A3688,""-""))"),"")</f>
        <v/>
      </c>
      <c r="K3688" s="13" t="str">
        <f>IFERROR(__xludf.DUMMYFUNCTION("if(isblank(B3688),,split(B3688,""-""))"),"")</f>
        <v/>
      </c>
    </row>
    <row r="3689">
      <c r="A3689" s="132"/>
      <c r="B3689" s="41"/>
      <c r="C3689" s="9"/>
      <c r="D3689" s="133"/>
      <c r="E3689" s="133"/>
      <c r="F3689" s="24"/>
      <c r="G3689" s="24"/>
      <c r="I3689" s="13" t="str">
        <f>IFERROR(__xludf.DUMMYFUNCTION("if(isblank(A3689),,split(A3689,""-""))"),"")</f>
        <v/>
      </c>
      <c r="K3689" s="13" t="str">
        <f>IFERROR(__xludf.DUMMYFUNCTION("if(isblank(B3689),,split(B3689,""-""))"),"")</f>
        <v/>
      </c>
    </row>
    <row r="3690">
      <c r="A3690" s="132"/>
      <c r="B3690" s="41"/>
      <c r="C3690" s="9"/>
      <c r="D3690" s="133"/>
      <c r="E3690" s="133"/>
      <c r="F3690" s="24"/>
      <c r="G3690" s="24"/>
      <c r="I3690" s="13" t="str">
        <f>IFERROR(__xludf.DUMMYFUNCTION("if(isblank(A3690),,split(A3690,""-""))"),"")</f>
        <v/>
      </c>
      <c r="K3690" s="13" t="str">
        <f>IFERROR(__xludf.DUMMYFUNCTION("if(isblank(B3690),,split(B3690,""-""))"),"")</f>
        <v/>
      </c>
    </row>
    <row r="3691">
      <c r="A3691" s="132"/>
      <c r="B3691" s="41"/>
      <c r="C3691" s="9"/>
      <c r="D3691" s="133"/>
      <c r="E3691" s="133"/>
      <c r="F3691" s="24"/>
      <c r="G3691" s="24"/>
      <c r="I3691" s="13" t="str">
        <f>IFERROR(__xludf.DUMMYFUNCTION("if(isblank(A3691),,split(A3691,""-""))"),"")</f>
        <v/>
      </c>
      <c r="K3691" s="13" t="str">
        <f>IFERROR(__xludf.DUMMYFUNCTION("if(isblank(B3691),,split(B3691,""-""))"),"")</f>
        <v/>
      </c>
    </row>
    <row r="3692">
      <c r="A3692" s="132"/>
      <c r="B3692" s="41"/>
      <c r="C3692" s="9"/>
      <c r="D3692" s="133"/>
      <c r="E3692" s="133"/>
      <c r="F3692" s="24"/>
      <c r="G3692" s="24"/>
      <c r="I3692" s="13" t="str">
        <f>IFERROR(__xludf.DUMMYFUNCTION("if(isblank(A3692),,split(A3692,""-""))"),"")</f>
        <v/>
      </c>
      <c r="K3692" s="13" t="str">
        <f>IFERROR(__xludf.DUMMYFUNCTION("if(isblank(B3692),,split(B3692,""-""))"),"")</f>
        <v/>
      </c>
    </row>
    <row r="3693">
      <c r="A3693" s="132"/>
      <c r="B3693" s="41"/>
      <c r="C3693" s="9"/>
      <c r="D3693" s="133"/>
      <c r="E3693" s="133"/>
      <c r="F3693" s="24"/>
      <c r="G3693" s="24"/>
      <c r="I3693" s="13" t="str">
        <f>IFERROR(__xludf.DUMMYFUNCTION("if(isblank(A3693),,split(A3693,""-""))"),"")</f>
        <v/>
      </c>
      <c r="K3693" s="13" t="str">
        <f>IFERROR(__xludf.DUMMYFUNCTION("if(isblank(B3693),,split(B3693,""-""))"),"")</f>
        <v/>
      </c>
    </row>
    <row r="3694">
      <c r="A3694" s="132"/>
      <c r="B3694" s="41"/>
      <c r="C3694" s="9"/>
      <c r="D3694" s="133"/>
      <c r="E3694" s="133"/>
      <c r="F3694" s="24"/>
      <c r="G3694" s="24"/>
      <c r="I3694" s="13" t="str">
        <f>IFERROR(__xludf.DUMMYFUNCTION("if(isblank(A3694),,split(A3694,""-""))"),"")</f>
        <v/>
      </c>
      <c r="K3694" s="13" t="str">
        <f>IFERROR(__xludf.DUMMYFUNCTION("if(isblank(B3694),,split(B3694,""-""))"),"")</f>
        <v/>
      </c>
    </row>
    <row r="3695">
      <c r="A3695" s="132"/>
      <c r="B3695" s="41"/>
      <c r="C3695" s="9"/>
      <c r="D3695" s="133"/>
      <c r="E3695" s="133"/>
      <c r="F3695" s="24"/>
      <c r="G3695" s="24"/>
      <c r="I3695" s="13" t="str">
        <f>IFERROR(__xludf.DUMMYFUNCTION("if(isblank(A3695),,split(A3695,""-""))"),"")</f>
        <v/>
      </c>
      <c r="K3695" s="13" t="str">
        <f>IFERROR(__xludf.DUMMYFUNCTION("if(isblank(B3695),,split(B3695,""-""))"),"")</f>
        <v/>
      </c>
    </row>
    <row r="3696">
      <c r="A3696" s="132"/>
      <c r="B3696" s="41"/>
      <c r="C3696" s="9"/>
      <c r="D3696" s="133"/>
      <c r="E3696" s="133"/>
      <c r="F3696" s="24"/>
      <c r="G3696" s="24"/>
      <c r="I3696" s="13" t="str">
        <f>IFERROR(__xludf.DUMMYFUNCTION("if(isblank(A3696),,split(A3696,""-""))"),"")</f>
        <v/>
      </c>
      <c r="K3696" s="13" t="str">
        <f>IFERROR(__xludf.DUMMYFUNCTION("if(isblank(B3696),,split(B3696,""-""))"),"")</f>
        <v/>
      </c>
    </row>
    <row r="3697">
      <c r="A3697" s="132"/>
      <c r="B3697" s="41"/>
      <c r="C3697" s="9"/>
      <c r="D3697" s="133"/>
      <c r="E3697" s="133"/>
      <c r="F3697" s="24"/>
      <c r="G3697" s="24"/>
      <c r="I3697" s="13" t="str">
        <f>IFERROR(__xludf.DUMMYFUNCTION("if(isblank(A3697),,split(A3697,""-""))"),"")</f>
        <v/>
      </c>
      <c r="K3697" s="13" t="str">
        <f>IFERROR(__xludf.DUMMYFUNCTION("if(isblank(B3697),,split(B3697,""-""))"),"")</f>
        <v/>
      </c>
    </row>
    <row r="3698">
      <c r="A3698" s="132"/>
      <c r="B3698" s="41"/>
      <c r="C3698" s="9"/>
      <c r="D3698" s="133"/>
      <c r="E3698" s="133"/>
      <c r="F3698" s="24"/>
      <c r="G3698" s="24"/>
      <c r="I3698" s="13" t="str">
        <f>IFERROR(__xludf.DUMMYFUNCTION("if(isblank(A3698),,split(A3698,""-""))"),"")</f>
        <v/>
      </c>
      <c r="K3698" s="13" t="str">
        <f>IFERROR(__xludf.DUMMYFUNCTION("if(isblank(B3698),,split(B3698,""-""))"),"")</f>
        <v/>
      </c>
    </row>
    <row r="3699">
      <c r="A3699" s="132"/>
      <c r="B3699" s="41"/>
      <c r="C3699" s="9"/>
      <c r="D3699" s="133"/>
      <c r="E3699" s="133"/>
      <c r="F3699" s="24"/>
      <c r="G3699" s="24"/>
      <c r="I3699" s="13" t="str">
        <f>IFERROR(__xludf.DUMMYFUNCTION("if(isblank(A3699),,split(A3699,""-""))"),"")</f>
        <v/>
      </c>
      <c r="K3699" s="13" t="str">
        <f>IFERROR(__xludf.DUMMYFUNCTION("if(isblank(B3699),,split(B3699,""-""))"),"")</f>
        <v/>
      </c>
    </row>
    <row r="3700">
      <c r="A3700" s="132"/>
      <c r="B3700" s="41"/>
      <c r="C3700" s="9"/>
      <c r="D3700" s="133"/>
      <c r="E3700" s="133"/>
      <c r="F3700" s="24"/>
      <c r="G3700" s="24"/>
      <c r="I3700" s="13" t="str">
        <f>IFERROR(__xludf.DUMMYFUNCTION("if(isblank(A3700),,split(A3700,""-""))"),"")</f>
        <v/>
      </c>
      <c r="K3700" s="13" t="str">
        <f>IFERROR(__xludf.DUMMYFUNCTION("if(isblank(B3700),,split(B3700,""-""))"),"")</f>
        <v/>
      </c>
    </row>
    <row r="3701">
      <c r="A3701" s="132"/>
      <c r="B3701" s="41"/>
      <c r="C3701" s="9"/>
      <c r="D3701" s="133"/>
      <c r="E3701" s="133"/>
      <c r="F3701" s="24"/>
      <c r="G3701" s="24"/>
      <c r="I3701" s="13" t="str">
        <f>IFERROR(__xludf.DUMMYFUNCTION("if(isblank(A3701),,split(A3701,""-""))"),"")</f>
        <v/>
      </c>
      <c r="K3701" s="13" t="str">
        <f>IFERROR(__xludf.DUMMYFUNCTION("if(isblank(B3701),,split(B3701,""-""))"),"")</f>
        <v/>
      </c>
    </row>
    <row r="3702">
      <c r="A3702" s="132"/>
      <c r="B3702" s="41"/>
      <c r="C3702" s="9"/>
      <c r="D3702" s="133"/>
      <c r="E3702" s="133"/>
      <c r="F3702" s="24"/>
      <c r="G3702" s="24"/>
      <c r="I3702" s="13" t="str">
        <f>IFERROR(__xludf.DUMMYFUNCTION("if(isblank(A3702),,split(A3702,""-""))"),"")</f>
        <v/>
      </c>
      <c r="K3702" s="13" t="str">
        <f>IFERROR(__xludf.DUMMYFUNCTION("if(isblank(B3702),,split(B3702,""-""))"),"")</f>
        <v/>
      </c>
    </row>
    <row r="3703">
      <c r="A3703" s="132"/>
      <c r="B3703" s="41"/>
      <c r="C3703" s="9"/>
      <c r="D3703" s="133"/>
      <c r="E3703" s="133"/>
      <c r="F3703" s="24"/>
      <c r="G3703" s="24"/>
      <c r="I3703" s="13" t="str">
        <f>IFERROR(__xludf.DUMMYFUNCTION("if(isblank(A3703),,split(A3703,""-""))"),"")</f>
        <v/>
      </c>
      <c r="K3703" s="13" t="str">
        <f>IFERROR(__xludf.DUMMYFUNCTION("if(isblank(B3703),,split(B3703,""-""))"),"")</f>
        <v/>
      </c>
    </row>
    <row r="3704">
      <c r="A3704" s="132"/>
      <c r="B3704" s="41"/>
      <c r="C3704" s="9"/>
      <c r="D3704" s="133"/>
      <c r="E3704" s="133"/>
      <c r="F3704" s="24"/>
      <c r="G3704" s="24"/>
      <c r="I3704" s="13" t="str">
        <f>IFERROR(__xludf.DUMMYFUNCTION("if(isblank(A3704),,split(A3704,""-""))"),"")</f>
        <v/>
      </c>
      <c r="K3704" s="13" t="str">
        <f>IFERROR(__xludf.DUMMYFUNCTION("if(isblank(B3704),,split(B3704,""-""))"),"")</f>
        <v/>
      </c>
    </row>
    <row r="3705">
      <c r="A3705" s="132"/>
      <c r="B3705" s="41"/>
      <c r="C3705" s="9"/>
      <c r="D3705" s="133"/>
      <c r="E3705" s="133"/>
      <c r="F3705" s="24"/>
      <c r="G3705" s="24"/>
      <c r="I3705" s="13" t="str">
        <f>IFERROR(__xludf.DUMMYFUNCTION("if(isblank(A3705),,split(A3705,""-""))"),"")</f>
        <v/>
      </c>
      <c r="K3705" s="13" t="str">
        <f>IFERROR(__xludf.DUMMYFUNCTION("if(isblank(B3705),,split(B3705,""-""))"),"")</f>
        <v/>
      </c>
    </row>
    <row r="3706">
      <c r="A3706" s="132"/>
      <c r="B3706" s="41"/>
      <c r="C3706" s="9"/>
      <c r="D3706" s="133"/>
      <c r="E3706" s="133"/>
      <c r="F3706" s="24"/>
      <c r="G3706" s="24"/>
      <c r="I3706" s="13" t="str">
        <f>IFERROR(__xludf.DUMMYFUNCTION("if(isblank(A3706),,split(A3706,""-""))"),"")</f>
        <v/>
      </c>
      <c r="K3706" s="13" t="str">
        <f>IFERROR(__xludf.DUMMYFUNCTION("if(isblank(B3706),,split(B3706,""-""))"),"")</f>
        <v/>
      </c>
    </row>
    <row r="3707">
      <c r="A3707" s="132"/>
      <c r="B3707" s="41"/>
      <c r="C3707" s="9"/>
      <c r="D3707" s="133"/>
      <c r="E3707" s="133"/>
      <c r="F3707" s="24"/>
      <c r="G3707" s="24"/>
      <c r="I3707" s="13" t="str">
        <f>IFERROR(__xludf.DUMMYFUNCTION("if(isblank(A3707),,split(A3707,""-""))"),"")</f>
        <v/>
      </c>
      <c r="K3707" s="13" t="str">
        <f>IFERROR(__xludf.DUMMYFUNCTION("if(isblank(B3707),,split(B3707,""-""))"),"")</f>
        <v/>
      </c>
    </row>
    <row r="3708">
      <c r="A3708" s="132"/>
      <c r="B3708" s="41"/>
      <c r="C3708" s="9"/>
      <c r="D3708" s="133"/>
      <c r="E3708" s="133"/>
      <c r="F3708" s="24"/>
      <c r="G3708" s="24"/>
      <c r="I3708" s="13" t="str">
        <f>IFERROR(__xludf.DUMMYFUNCTION("if(isblank(A3708),,split(A3708,""-""))"),"")</f>
        <v/>
      </c>
      <c r="K3708" s="13" t="str">
        <f>IFERROR(__xludf.DUMMYFUNCTION("if(isblank(B3708),,split(B3708,""-""))"),"")</f>
        <v/>
      </c>
    </row>
    <row r="3709">
      <c r="A3709" s="132"/>
      <c r="B3709" s="41"/>
      <c r="C3709" s="9"/>
      <c r="D3709" s="133"/>
      <c r="E3709" s="133"/>
      <c r="F3709" s="24"/>
      <c r="G3709" s="24"/>
      <c r="I3709" s="13" t="str">
        <f>IFERROR(__xludf.DUMMYFUNCTION("if(isblank(A3709),,split(A3709,""-""))"),"")</f>
        <v/>
      </c>
      <c r="K3709" s="13" t="str">
        <f>IFERROR(__xludf.DUMMYFUNCTION("if(isblank(B3709),,split(B3709,""-""))"),"")</f>
        <v/>
      </c>
    </row>
    <row r="3710">
      <c r="A3710" s="132"/>
      <c r="B3710" s="41"/>
      <c r="C3710" s="9"/>
      <c r="D3710" s="133"/>
      <c r="E3710" s="133"/>
      <c r="F3710" s="24"/>
      <c r="G3710" s="24"/>
      <c r="I3710" s="13" t="str">
        <f>IFERROR(__xludf.DUMMYFUNCTION("if(isblank(A3710),,split(A3710,""-""))"),"")</f>
        <v/>
      </c>
      <c r="K3710" s="13" t="str">
        <f>IFERROR(__xludf.DUMMYFUNCTION("if(isblank(B3710),,split(B3710,""-""))"),"")</f>
        <v/>
      </c>
    </row>
    <row r="3711">
      <c r="A3711" s="132"/>
      <c r="B3711" s="41"/>
      <c r="C3711" s="9"/>
      <c r="D3711" s="133"/>
      <c r="E3711" s="133"/>
      <c r="F3711" s="24"/>
      <c r="G3711" s="24"/>
      <c r="I3711" s="13" t="str">
        <f>IFERROR(__xludf.DUMMYFUNCTION("if(isblank(A3711),,split(A3711,""-""))"),"")</f>
        <v/>
      </c>
      <c r="K3711" s="13" t="str">
        <f>IFERROR(__xludf.DUMMYFUNCTION("if(isblank(B3711),,split(B3711,""-""))"),"")</f>
        <v/>
      </c>
    </row>
    <row r="3712">
      <c r="A3712" s="132"/>
      <c r="B3712" s="41"/>
      <c r="C3712" s="9"/>
      <c r="D3712" s="133"/>
      <c r="E3712" s="133"/>
      <c r="F3712" s="24"/>
      <c r="G3712" s="24"/>
      <c r="I3712" s="13" t="str">
        <f>IFERROR(__xludf.DUMMYFUNCTION("if(isblank(A3712),,split(A3712,""-""))"),"")</f>
        <v/>
      </c>
      <c r="K3712" s="13" t="str">
        <f>IFERROR(__xludf.DUMMYFUNCTION("if(isblank(B3712),,split(B3712,""-""))"),"")</f>
        <v/>
      </c>
    </row>
    <row r="3713">
      <c r="A3713" s="132"/>
      <c r="B3713" s="41"/>
      <c r="C3713" s="9"/>
      <c r="D3713" s="133"/>
      <c r="E3713" s="133"/>
      <c r="F3713" s="24"/>
      <c r="G3713" s="24"/>
      <c r="I3713" s="13" t="str">
        <f>IFERROR(__xludf.DUMMYFUNCTION("if(isblank(A3713),,split(A3713,""-""))"),"")</f>
        <v/>
      </c>
      <c r="K3713" s="13" t="str">
        <f>IFERROR(__xludf.DUMMYFUNCTION("if(isblank(B3713),,split(B3713,""-""))"),"")</f>
        <v/>
      </c>
    </row>
    <row r="3714">
      <c r="A3714" s="132"/>
      <c r="B3714" s="41"/>
      <c r="C3714" s="9"/>
      <c r="D3714" s="133"/>
      <c r="E3714" s="133"/>
      <c r="F3714" s="24"/>
      <c r="G3714" s="24"/>
      <c r="I3714" s="13" t="str">
        <f>IFERROR(__xludf.DUMMYFUNCTION("if(isblank(A3714),,split(A3714,""-""))"),"")</f>
        <v/>
      </c>
      <c r="K3714" s="13" t="str">
        <f>IFERROR(__xludf.DUMMYFUNCTION("if(isblank(B3714),,split(B3714,""-""))"),"")</f>
        <v/>
      </c>
    </row>
    <row r="3715">
      <c r="A3715" s="132"/>
      <c r="B3715" s="41"/>
      <c r="C3715" s="9"/>
      <c r="D3715" s="133"/>
      <c r="E3715" s="133"/>
      <c r="F3715" s="24"/>
      <c r="G3715" s="24"/>
      <c r="I3715" s="13" t="str">
        <f>IFERROR(__xludf.DUMMYFUNCTION("if(isblank(A3715),,split(A3715,""-""))"),"")</f>
        <v/>
      </c>
      <c r="K3715" s="13" t="str">
        <f>IFERROR(__xludf.DUMMYFUNCTION("if(isblank(B3715),,split(B3715,""-""))"),"")</f>
        <v/>
      </c>
    </row>
    <row r="3716">
      <c r="A3716" s="132"/>
      <c r="B3716" s="41"/>
      <c r="C3716" s="9"/>
      <c r="D3716" s="133"/>
      <c r="E3716" s="133"/>
      <c r="F3716" s="24"/>
      <c r="G3716" s="24"/>
      <c r="I3716" s="13" t="str">
        <f>IFERROR(__xludf.DUMMYFUNCTION("if(isblank(A3716),,split(A3716,""-""))"),"")</f>
        <v/>
      </c>
      <c r="K3716" s="13" t="str">
        <f>IFERROR(__xludf.DUMMYFUNCTION("if(isblank(B3716),,split(B3716,""-""))"),"")</f>
        <v/>
      </c>
    </row>
    <row r="3717">
      <c r="A3717" s="132"/>
      <c r="B3717" s="41"/>
      <c r="C3717" s="9"/>
      <c r="D3717" s="133"/>
      <c r="E3717" s="133"/>
      <c r="F3717" s="24"/>
      <c r="G3717" s="24"/>
      <c r="I3717" s="13" t="str">
        <f>IFERROR(__xludf.DUMMYFUNCTION("if(isblank(A3717),,split(A3717,""-""))"),"")</f>
        <v/>
      </c>
      <c r="K3717" s="13" t="str">
        <f>IFERROR(__xludf.DUMMYFUNCTION("if(isblank(B3717),,split(B3717,""-""))"),"")</f>
        <v/>
      </c>
    </row>
    <row r="3718">
      <c r="A3718" s="132"/>
      <c r="B3718" s="41"/>
      <c r="C3718" s="9"/>
      <c r="D3718" s="133"/>
      <c r="E3718" s="133"/>
      <c r="F3718" s="24"/>
      <c r="G3718" s="24"/>
      <c r="I3718" s="13" t="str">
        <f>IFERROR(__xludf.DUMMYFUNCTION("if(isblank(A3718),,split(A3718,""-""))"),"")</f>
        <v/>
      </c>
      <c r="K3718" s="13" t="str">
        <f>IFERROR(__xludf.DUMMYFUNCTION("if(isblank(B3718),,split(B3718,""-""))"),"")</f>
        <v/>
      </c>
    </row>
    <row r="3719">
      <c r="A3719" s="132"/>
      <c r="B3719" s="41"/>
      <c r="C3719" s="9"/>
      <c r="D3719" s="133"/>
      <c r="E3719" s="133"/>
      <c r="F3719" s="24"/>
      <c r="G3719" s="24"/>
      <c r="I3719" s="13" t="str">
        <f>IFERROR(__xludf.DUMMYFUNCTION("if(isblank(A3719),,split(A3719,""-""))"),"")</f>
        <v/>
      </c>
      <c r="K3719" s="13" t="str">
        <f>IFERROR(__xludf.DUMMYFUNCTION("if(isblank(B3719),,split(B3719,""-""))"),"")</f>
        <v/>
      </c>
    </row>
    <row r="3720">
      <c r="A3720" s="132"/>
      <c r="B3720" s="41"/>
      <c r="C3720" s="9"/>
      <c r="D3720" s="133"/>
      <c r="E3720" s="133"/>
      <c r="F3720" s="24"/>
      <c r="G3720" s="24"/>
      <c r="I3720" s="13" t="str">
        <f>IFERROR(__xludf.DUMMYFUNCTION("if(isblank(A3720),,split(A3720,""-""))"),"")</f>
        <v/>
      </c>
      <c r="K3720" s="13" t="str">
        <f>IFERROR(__xludf.DUMMYFUNCTION("if(isblank(B3720),,split(B3720,""-""))"),"")</f>
        <v/>
      </c>
    </row>
    <row r="3721">
      <c r="A3721" s="132"/>
      <c r="B3721" s="41"/>
      <c r="C3721" s="9"/>
      <c r="D3721" s="133"/>
      <c r="E3721" s="133"/>
      <c r="F3721" s="24"/>
      <c r="G3721" s="24"/>
      <c r="I3721" s="13" t="str">
        <f>IFERROR(__xludf.DUMMYFUNCTION("if(isblank(A3721),,split(A3721,""-""))"),"")</f>
        <v/>
      </c>
      <c r="K3721" s="13" t="str">
        <f>IFERROR(__xludf.DUMMYFUNCTION("if(isblank(B3721),,split(B3721,""-""))"),"")</f>
        <v/>
      </c>
    </row>
    <row r="3722">
      <c r="A3722" s="132"/>
      <c r="B3722" s="41"/>
      <c r="C3722" s="9"/>
      <c r="D3722" s="133"/>
      <c r="E3722" s="133"/>
      <c r="F3722" s="24"/>
      <c r="G3722" s="24"/>
      <c r="I3722" s="13" t="str">
        <f>IFERROR(__xludf.DUMMYFUNCTION("if(isblank(A3722),,split(A3722,""-""))"),"")</f>
        <v/>
      </c>
      <c r="K3722" s="13" t="str">
        <f>IFERROR(__xludf.DUMMYFUNCTION("if(isblank(B3722),,split(B3722,""-""))"),"")</f>
        <v/>
      </c>
    </row>
    <row r="3723">
      <c r="A3723" s="132"/>
      <c r="B3723" s="41"/>
      <c r="C3723" s="9"/>
      <c r="D3723" s="133"/>
      <c r="E3723" s="133"/>
      <c r="F3723" s="24"/>
      <c r="G3723" s="24"/>
      <c r="I3723" s="13" t="str">
        <f>IFERROR(__xludf.DUMMYFUNCTION("if(isblank(A3723),,split(A3723,""-""))"),"")</f>
        <v/>
      </c>
      <c r="K3723" s="13" t="str">
        <f>IFERROR(__xludf.DUMMYFUNCTION("if(isblank(B3723),,split(B3723,""-""))"),"")</f>
        <v/>
      </c>
    </row>
    <row r="3724">
      <c r="A3724" s="132"/>
      <c r="B3724" s="41"/>
      <c r="C3724" s="9"/>
      <c r="D3724" s="133"/>
      <c r="E3724" s="133"/>
      <c r="F3724" s="24"/>
      <c r="G3724" s="24"/>
      <c r="I3724" s="13" t="str">
        <f>IFERROR(__xludf.DUMMYFUNCTION("if(isblank(A3724),,split(A3724,""-""))"),"")</f>
        <v/>
      </c>
      <c r="K3724" s="13" t="str">
        <f>IFERROR(__xludf.DUMMYFUNCTION("if(isblank(B3724),,split(B3724,""-""))"),"")</f>
        <v/>
      </c>
    </row>
    <row r="3725">
      <c r="A3725" s="132"/>
      <c r="B3725" s="41"/>
      <c r="C3725" s="9"/>
      <c r="D3725" s="133"/>
      <c r="E3725" s="133"/>
      <c r="F3725" s="24"/>
      <c r="G3725" s="24"/>
      <c r="I3725" s="13" t="str">
        <f>IFERROR(__xludf.DUMMYFUNCTION("if(isblank(A3725),,split(A3725,""-""))"),"")</f>
        <v/>
      </c>
      <c r="K3725" s="13" t="str">
        <f>IFERROR(__xludf.DUMMYFUNCTION("if(isblank(B3725),,split(B3725,""-""))"),"")</f>
        <v/>
      </c>
    </row>
    <row r="3726">
      <c r="A3726" s="132"/>
      <c r="B3726" s="41"/>
      <c r="C3726" s="9"/>
      <c r="D3726" s="133"/>
      <c r="E3726" s="133"/>
      <c r="F3726" s="24"/>
      <c r="G3726" s="24"/>
      <c r="I3726" s="13" t="str">
        <f>IFERROR(__xludf.DUMMYFUNCTION("if(isblank(A3726),,split(A3726,""-""))"),"")</f>
        <v/>
      </c>
      <c r="K3726" s="13" t="str">
        <f>IFERROR(__xludf.DUMMYFUNCTION("if(isblank(B3726),,split(B3726,""-""))"),"")</f>
        <v/>
      </c>
    </row>
    <row r="3727">
      <c r="A3727" s="132"/>
      <c r="B3727" s="41"/>
      <c r="C3727" s="9"/>
      <c r="D3727" s="133"/>
      <c r="E3727" s="133"/>
      <c r="F3727" s="24"/>
      <c r="G3727" s="24"/>
      <c r="I3727" s="13" t="str">
        <f>IFERROR(__xludf.DUMMYFUNCTION("if(isblank(A3727),,split(A3727,""-""))"),"")</f>
        <v/>
      </c>
      <c r="K3727" s="13" t="str">
        <f>IFERROR(__xludf.DUMMYFUNCTION("if(isblank(B3727),,split(B3727,""-""))"),"")</f>
        <v/>
      </c>
    </row>
    <row r="3728">
      <c r="A3728" s="132"/>
      <c r="B3728" s="41"/>
      <c r="C3728" s="9"/>
      <c r="D3728" s="133"/>
      <c r="E3728" s="133"/>
      <c r="F3728" s="24"/>
      <c r="G3728" s="24"/>
      <c r="I3728" s="13" t="str">
        <f>IFERROR(__xludf.DUMMYFUNCTION("if(isblank(A3728),,split(A3728,""-""))"),"")</f>
        <v/>
      </c>
      <c r="K3728" s="13" t="str">
        <f>IFERROR(__xludf.DUMMYFUNCTION("if(isblank(B3728),,split(B3728,""-""))"),"")</f>
        <v/>
      </c>
    </row>
    <row r="3729">
      <c r="A3729" s="132"/>
      <c r="B3729" s="41"/>
      <c r="C3729" s="9"/>
      <c r="D3729" s="133"/>
      <c r="E3729" s="133"/>
      <c r="F3729" s="24"/>
      <c r="G3729" s="24"/>
      <c r="I3729" s="13" t="str">
        <f>IFERROR(__xludf.DUMMYFUNCTION("if(isblank(A3729),,split(A3729,""-""))"),"")</f>
        <v/>
      </c>
      <c r="K3729" s="13" t="str">
        <f>IFERROR(__xludf.DUMMYFUNCTION("if(isblank(B3729),,split(B3729,""-""))"),"")</f>
        <v/>
      </c>
    </row>
    <row r="3730">
      <c r="A3730" s="132"/>
      <c r="B3730" s="41"/>
      <c r="C3730" s="9"/>
      <c r="D3730" s="133"/>
      <c r="E3730" s="133"/>
      <c r="F3730" s="24"/>
      <c r="G3730" s="24"/>
      <c r="I3730" s="13" t="str">
        <f>IFERROR(__xludf.DUMMYFUNCTION("if(isblank(A3730),,split(A3730,""-""))"),"")</f>
        <v/>
      </c>
      <c r="K3730" s="13" t="str">
        <f>IFERROR(__xludf.DUMMYFUNCTION("if(isblank(B3730),,split(B3730,""-""))"),"")</f>
        <v/>
      </c>
    </row>
    <row r="3731">
      <c r="A3731" s="132"/>
      <c r="B3731" s="41"/>
      <c r="C3731" s="9"/>
      <c r="D3731" s="133"/>
      <c r="E3731" s="133"/>
      <c r="F3731" s="24"/>
      <c r="G3731" s="24"/>
      <c r="I3731" s="13" t="str">
        <f>IFERROR(__xludf.DUMMYFUNCTION("if(isblank(A3731),,split(A3731,""-""))"),"")</f>
        <v/>
      </c>
      <c r="K3731" s="13" t="str">
        <f>IFERROR(__xludf.DUMMYFUNCTION("if(isblank(B3731),,split(B3731,""-""))"),"")</f>
        <v/>
      </c>
    </row>
    <row r="3732">
      <c r="A3732" s="132"/>
      <c r="B3732" s="41"/>
      <c r="C3732" s="9"/>
      <c r="D3732" s="133"/>
      <c r="E3732" s="133"/>
      <c r="F3732" s="24"/>
      <c r="G3732" s="24"/>
      <c r="I3732" s="13" t="str">
        <f>IFERROR(__xludf.DUMMYFUNCTION("if(isblank(A3732),,split(A3732,""-""))"),"")</f>
        <v/>
      </c>
      <c r="K3732" s="13" t="str">
        <f>IFERROR(__xludf.DUMMYFUNCTION("if(isblank(B3732),,split(B3732,""-""))"),"")</f>
        <v/>
      </c>
    </row>
    <row r="3733">
      <c r="A3733" s="132"/>
      <c r="B3733" s="41"/>
      <c r="C3733" s="9"/>
      <c r="D3733" s="133"/>
      <c r="E3733" s="133"/>
      <c r="F3733" s="24"/>
      <c r="G3733" s="24"/>
      <c r="I3733" s="13" t="str">
        <f>IFERROR(__xludf.DUMMYFUNCTION("if(isblank(A3733),,split(A3733,""-""))"),"")</f>
        <v/>
      </c>
      <c r="K3733" s="13" t="str">
        <f>IFERROR(__xludf.DUMMYFUNCTION("if(isblank(B3733),,split(B3733,""-""))"),"")</f>
        <v/>
      </c>
    </row>
    <row r="3734">
      <c r="A3734" s="132"/>
      <c r="B3734" s="41"/>
      <c r="C3734" s="9"/>
      <c r="D3734" s="133"/>
      <c r="E3734" s="133"/>
      <c r="F3734" s="24"/>
      <c r="G3734" s="24"/>
      <c r="I3734" s="13" t="str">
        <f>IFERROR(__xludf.DUMMYFUNCTION("if(isblank(A3734),,split(A3734,""-""))"),"")</f>
        <v/>
      </c>
      <c r="K3734" s="13" t="str">
        <f>IFERROR(__xludf.DUMMYFUNCTION("if(isblank(B3734),,split(B3734,""-""))"),"")</f>
        <v/>
      </c>
    </row>
    <row r="3735">
      <c r="A3735" s="132"/>
      <c r="B3735" s="41"/>
      <c r="C3735" s="9"/>
      <c r="D3735" s="133"/>
      <c r="E3735" s="133"/>
      <c r="F3735" s="24"/>
      <c r="G3735" s="24"/>
      <c r="I3735" s="13" t="str">
        <f>IFERROR(__xludf.DUMMYFUNCTION("if(isblank(A3735),,split(A3735,""-""))"),"")</f>
        <v/>
      </c>
      <c r="K3735" s="13" t="str">
        <f>IFERROR(__xludf.DUMMYFUNCTION("if(isblank(B3735),,split(B3735,""-""))"),"")</f>
        <v/>
      </c>
    </row>
    <row r="3736">
      <c r="A3736" s="132"/>
      <c r="B3736" s="41"/>
      <c r="C3736" s="9"/>
      <c r="D3736" s="133"/>
      <c r="E3736" s="133"/>
      <c r="F3736" s="24"/>
      <c r="G3736" s="24"/>
      <c r="I3736" s="13" t="str">
        <f>IFERROR(__xludf.DUMMYFUNCTION("if(isblank(A3736),,split(A3736,""-""))"),"")</f>
        <v/>
      </c>
      <c r="K3736" s="13" t="str">
        <f>IFERROR(__xludf.DUMMYFUNCTION("if(isblank(B3736),,split(B3736,""-""))"),"")</f>
        <v/>
      </c>
    </row>
    <row r="3737">
      <c r="A3737" s="132"/>
      <c r="B3737" s="41"/>
      <c r="C3737" s="9"/>
      <c r="D3737" s="133"/>
      <c r="E3737" s="133"/>
      <c r="F3737" s="24"/>
      <c r="G3737" s="24"/>
      <c r="I3737" s="13" t="str">
        <f>IFERROR(__xludf.DUMMYFUNCTION("if(isblank(A3737),,split(A3737,""-""))"),"")</f>
        <v/>
      </c>
      <c r="K3737" s="13" t="str">
        <f>IFERROR(__xludf.DUMMYFUNCTION("if(isblank(B3737),,split(B3737,""-""))"),"")</f>
        <v/>
      </c>
    </row>
    <row r="3738">
      <c r="A3738" s="132"/>
      <c r="B3738" s="41"/>
      <c r="C3738" s="9"/>
      <c r="D3738" s="133"/>
      <c r="E3738" s="133"/>
      <c r="F3738" s="24"/>
      <c r="G3738" s="24"/>
      <c r="I3738" s="13" t="str">
        <f>IFERROR(__xludf.DUMMYFUNCTION("if(isblank(A3738),,split(A3738,""-""))"),"")</f>
        <v/>
      </c>
      <c r="K3738" s="13" t="str">
        <f>IFERROR(__xludf.DUMMYFUNCTION("if(isblank(B3738),,split(B3738,""-""))"),"")</f>
        <v/>
      </c>
    </row>
    <row r="3739">
      <c r="A3739" s="132"/>
      <c r="B3739" s="41"/>
      <c r="C3739" s="9"/>
      <c r="D3739" s="133"/>
      <c r="E3739" s="133"/>
      <c r="F3739" s="24"/>
      <c r="G3739" s="24"/>
      <c r="I3739" s="13" t="str">
        <f>IFERROR(__xludf.DUMMYFUNCTION("if(isblank(A3739),,split(A3739,""-""))"),"")</f>
        <v/>
      </c>
      <c r="K3739" s="13" t="str">
        <f>IFERROR(__xludf.DUMMYFUNCTION("if(isblank(B3739),,split(B3739,""-""))"),"")</f>
        <v/>
      </c>
    </row>
    <row r="3740">
      <c r="A3740" s="132"/>
      <c r="B3740" s="41"/>
      <c r="C3740" s="9"/>
      <c r="D3740" s="133"/>
      <c r="E3740" s="133"/>
      <c r="F3740" s="24"/>
      <c r="G3740" s="24"/>
      <c r="I3740" s="13" t="str">
        <f>IFERROR(__xludf.DUMMYFUNCTION("if(isblank(A3740),,split(A3740,""-""))"),"")</f>
        <v/>
      </c>
      <c r="K3740" s="13" t="str">
        <f>IFERROR(__xludf.DUMMYFUNCTION("if(isblank(B3740),,split(B3740,""-""))"),"")</f>
        <v/>
      </c>
    </row>
    <row r="3741">
      <c r="A3741" s="132"/>
      <c r="B3741" s="41"/>
      <c r="C3741" s="9"/>
      <c r="D3741" s="133"/>
      <c r="E3741" s="133"/>
      <c r="F3741" s="24"/>
      <c r="G3741" s="24"/>
      <c r="I3741" s="13" t="str">
        <f>IFERROR(__xludf.DUMMYFUNCTION("if(isblank(A3741),,split(A3741,""-""))"),"")</f>
        <v/>
      </c>
      <c r="K3741" s="13" t="str">
        <f>IFERROR(__xludf.DUMMYFUNCTION("if(isblank(B3741),,split(B3741,""-""))"),"")</f>
        <v/>
      </c>
    </row>
    <row r="3742">
      <c r="A3742" s="132"/>
      <c r="B3742" s="41"/>
      <c r="C3742" s="9"/>
      <c r="D3742" s="133"/>
      <c r="E3742" s="133"/>
      <c r="F3742" s="24"/>
      <c r="G3742" s="24"/>
      <c r="I3742" s="13" t="str">
        <f>IFERROR(__xludf.DUMMYFUNCTION("if(isblank(A3742),,split(A3742,""-""))"),"")</f>
        <v/>
      </c>
      <c r="K3742" s="13" t="str">
        <f>IFERROR(__xludf.DUMMYFUNCTION("if(isblank(B3742),,split(B3742,""-""))"),"")</f>
        <v/>
      </c>
    </row>
    <row r="3743">
      <c r="A3743" s="132"/>
      <c r="B3743" s="41"/>
      <c r="C3743" s="9"/>
      <c r="D3743" s="133"/>
      <c r="E3743" s="133"/>
      <c r="F3743" s="24"/>
      <c r="G3743" s="24"/>
      <c r="I3743" s="13" t="str">
        <f>IFERROR(__xludf.DUMMYFUNCTION("if(isblank(A3743),,split(A3743,""-""))"),"")</f>
        <v/>
      </c>
      <c r="K3743" s="13" t="str">
        <f>IFERROR(__xludf.DUMMYFUNCTION("if(isblank(B3743),,split(B3743,""-""))"),"")</f>
        <v/>
      </c>
    </row>
    <row r="3744">
      <c r="A3744" s="132"/>
      <c r="B3744" s="41"/>
      <c r="C3744" s="9"/>
      <c r="D3744" s="133"/>
      <c r="E3744" s="133"/>
      <c r="F3744" s="24"/>
      <c r="G3744" s="24"/>
      <c r="I3744" s="13" t="str">
        <f>IFERROR(__xludf.DUMMYFUNCTION("if(isblank(A3744),,split(A3744,""-""))"),"")</f>
        <v/>
      </c>
      <c r="K3744" s="13" t="str">
        <f>IFERROR(__xludf.DUMMYFUNCTION("if(isblank(B3744),,split(B3744,""-""))"),"")</f>
        <v/>
      </c>
    </row>
    <row r="3745">
      <c r="A3745" s="132"/>
      <c r="B3745" s="41"/>
      <c r="C3745" s="9"/>
      <c r="D3745" s="133"/>
      <c r="E3745" s="133"/>
      <c r="F3745" s="24"/>
      <c r="G3745" s="24"/>
      <c r="I3745" s="13" t="str">
        <f>IFERROR(__xludf.DUMMYFUNCTION("if(isblank(A3745),,split(A3745,""-""))"),"")</f>
        <v/>
      </c>
      <c r="K3745" s="13" t="str">
        <f>IFERROR(__xludf.DUMMYFUNCTION("if(isblank(B3745),,split(B3745,""-""))"),"")</f>
        <v/>
      </c>
    </row>
    <row r="3746">
      <c r="A3746" s="132"/>
      <c r="B3746" s="41"/>
      <c r="C3746" s="9"/>
      <c r="D3746" s="133"/>
      <c r="E3746" s="133"/>
      <c r="F3746" s="24"/>
      <c r="G3746" s="24"/>
      <c r="I3746" s="13" t="str">
        <f>IFERROR(__xludf.DUMMYFUNCTION("if(isblank(A3746),,split(A3746,""-""))"),"")</f>
        <v/>
      </c>
      <c r="K3746" s="13" t="str">
        <f>IFERROR(__xludf.DUMMYFUNCTION("if(isblank(B3746),,split(B3746,""-""))"),"")</f>
        <v/>
      </c>
    </row>
    <row r="3747">
      <c r="A3747" s="132"/>
      <c r="B3747" s="41"/>
      <c r="C3747" s="9"/>
      <c r="D3747" s="133"/>
      <c r="E3747" s="133"/>
      <c r="F3747" s="24"/>
      <c r="G3747" s="24"/>
      <c r="I3747" s="13" t="str">
        <f>IFERROR(__xludf.DUMMYFUNCTION("if(isblank(A3747),,split(A3747,""-""))"),"")</f>
        <v/>
      </c>
      <c r="K3747" s="13" t="str">
        <f>IFERROR(__xludf.DUMMYFUNCTION("if(isblank(B3747),,split(B3747,""-""))"),"")</f>
        <v/>
      </c>
    </row>
    <row r="3748">
      <c r="A3748" s="132"/>
      <c r="B3748" s="41"/>
      <c r="C3748" s="9"/>
      <c r="D3748" s="133"/>
      <c r="E3748" s="133"/>
      <c r="F3748" s="24"/>
      <c r="G3748" s="24"/>
      <c r="I3748" s="13" t="str">
        <f>IFERROR(__xludf.DUMMYFUNCTION("if(isblank(A3748),,split(A3748,""-""))"),"")</f>
        <v/>
      </c>
      <c r="K3748" s="13" t="str">
        <f>IFERROR(__xludf.DUMMYFUNCTION("if(isblank(B3748),,split(B3748,""-""))"),"")</f>
        <v/>
      </c>
    </row>
    <row r="3749">
      <c r="A3749" s="132"/>
      <c r="B3749" s="41"/>
      <c r="C3749" s="9"/>
      <c r="D3749" s="133"/>
      <c r="E3749" s="133"/>
      <c r="F3749" s="24"/>
      <c r="G3749" s="24"/>
      <c r="I3749" s="13" t="str">
        <f>IFERROR(__xludf.DUMMYFUNCTION("if(isblank(A3749),,split(A3749,""-""))"),"")</f>
        <v/>
      </c>
      <c r="K3749" s="13" t="str">
        <f>IFERROR(__xludf.DUMMYFUNCTION("if(isblank(B3749),,split(B3749,""-""))"),"")</f>
        <v/>
      </c>
    </row>
    <row r="3750">
      <c r="A3750" s="132"/>
      <c r="B3750" s="41"/>
      <c r="C3750" s="9"/>
      <c r="D3750" s="133"/>
      <c r="E3750" s="133"/>
      <c r="F3750" s="24"/>
      <c r="G3750" s="24"/>
      <c r="I3750" s="13" t="str">
        <f>IFERROR(__xludf.DUMMYFUNCTION("if(isblank(A3750),,split(A3750,""-""))"),"")</f>
        <v/>
      </c>
      <c r="K3750" s="13" t="str">
        <f>IFERROR(__xludf.DUMMYFUNCTION("if(isblank(B3750),,split(B3750,""-""))"),"")</f>
        <v/>
      </c>
    </row>
    <row r="3751">
      <c r="A3751" s="132"/>
      <c r="B3751" s="41"/>
      <c r="C3751" s="9"/>
      <c r="D3751" s="133"/>
      <c r="E3751" s="133"/>
      <c r="F3751" s="24"/>
      <c r="G3751" s="24"/>
      <c r="I3751" s="13" t="str">
        <f>IFERROR(__xludf.DUMMYFUNCTION("if(isblank(A3751),,split(A3751,""-""))"),"")</f>
        <v/>
      </c>
      <c r="K3751" s="13" t="str">
        <f>IFERROR(__xludf.DUMMYFUNCTION("if(isblank(B3751),,split(B3751,""-""))"),"")</f>
        <v/>
      </c>
    </row>
    <row r="3752">
      <c r="A3752" s="132"/>
      <c r="B3752" s="41"/>
      <c r="C3752" s="9"/>
      <c r="D3752" s="133"/>
      <c r="E3752" s="133"/>
      <c r="F3752" s="24"/>
      <c r="G3752" s="24"/>
      <c r="I3752" s="13" t="str">
        <f>IFERROR(__xludf.DUMMYFUNCTION("if(isblank(A3752),,split(A3752,""-""))"),"")</f>
        <v/>
      </c>
      <c r="K3752" s="13" t="str">
        <f>IFERROR(__xludf.DUMMYFUNCTION("if(isblank(B3752),,split(B3752,""-""))"),"")</f>
        <v/>
      </c>
    </row>
    <row r="3753">
      <c r="A3753" s="132"/>
      <c r="B3753" s="41"/>
      <c r="C3753" s="9"/>
      <c r="D3753" s="133"/>
      <c r="E3753" s="133"/>
      <c r="F3753" s="24"/>
      <c r="G3753" s="24"/>
      <c r="I3753" s="13" t="str">
        <f>IFERROR(__xludf.DUMMYFUNCTION("if(isblank(A3753),,split(A3753,""-""))"),"")</f>
        <v/>
      </c>
      <c r="K3753" s="13" t="str">
        <f>IFERROR(__xludf.DUMMYFUNCTION("if(isblank(B3753),,split(B3753,""-""))"),"")</f>
        <v/>
      </c>
    </row>
    <row r="3754">
      <c r="A3754" s="132"/>
      <c r="B3754" s="41"/>
      <c r="C3754" s="9"/>
      <c r="D3754" s="133"/>
      <c r="E3754" s="133"/>
      <c r="F3754" s="24"/>
      <c r="G3754" s="24"/>
      <c r="I3754" s="13" t="str">
        <f>IFERROR(__xludf.DUMMYFUNCTION("if(isblank(A3754),,split(A3754,""-""))"),"")</f>
        <v/>
      </c>
      <c r="K3754" s="13" t="str">
        <f>IFERROR(__xludf.DUMMYFUNCTION("if(isblank(B3754),,split(B3754,""-""))"),"")</f>
        <v/>
      </c>
    </row>
    <row r="3755">
      <c r="A3755" s="132"/>
      <c r="B3755" s="41"/>
      <c r="C3755" s="9"/>
      <c r="D3755" s="133"/>
      <c r="E3755" s="133"/>
      <c r="F3755" s="24"/>
      <c r="G3755" s="24"/>
      <c r="I3755" s="13" t="str">
        <f>IFERROR(__xludf.DUMMYFUNCTION("if(isblank(A3755),,split(A3755,""-""))"),"")</f>
        <v/>
      </c>
      <c r="K3755" s="13" t="str">
        <f>IFERROR(__xludf.DUMMYFUNCTION("if(isblank(B3755),,split(B3755,""-""))"),"")</f>
        <v/>
      </c>
    </row>
    <row r="3756">
      <c r="A3756" s="132"/>
      <c r="B3756" s="41"/>
      <c r="C3756" s="9"/>
      <c r="D3756" s="133"/>
      <c r="E3756" s="133"/>
      <c r="F3756" s="24"/>
      <c r="G3756" s="24"/>
      <c r="I3756" s="13" t="str">
        <f>IFERROR(__xludf.DUMMYFUNCTION("if(isblank(A3756),,split(A3756,""-""))"),"")</f>
        <v/>
      </c>
      <c r="K3756" s="13" t="str">
        <f>IFERROR(__xludf.DUMMYFUNCTION("if(isblank(B3756),,split(B3756,""-""))"),"")</f>
        <v/>
      </c>
    </row>
    <row r="3757">
      <c r="A3757" s="132"/>
      <c r="B3757" s="41"/>
      <c r="C3757" s="9"/>
      <c r="D3757" s="133"/>
      <c r="E3757" s="133"/>
      <c r="F3757" s="24"/>
      <c r="G3757" s="24"/>
      <c r="I3757" s="13" t="str">
        <f>IFERROR(__xludf.DUMMYFUNCTION("if(isblank(A3757),,split(A3757,""-""))"),"")</f>
        <v/>
      </c>
      <c r="K3757" s="13" t="str">
        <f>IFERROR(__xludf.DUMMYFUNCTION("if(isblank(B3757),,split(B3757,""-""))"),"")</f>
        <v/>
      </c>
    </row>
    <row r="3758">
      <c r="A3758" s="132"/>
      <c r="B3758" s="41"/>
      <c r="C3758" s="9"/>
      <c r="D3758" s="133"/>
      <c r="E3758" s="133"/>
      <c r="F3758" s="24"/>
      <c r="G3758" s="24"/>
      <c r="I3758" s="13" t="str">
        <f>IFERROR(__xludf.DUMMYFUNCTION("if(isblank(A3758),,split(A3758,""-""))"),"")</f>
        <v/>
      </c>
      <c r="K3758" s="13" t="str">
        <f>IFERROR(__xludf.DUMMYFUNCTION("if(isblank(B3758),,split(B3758,""-""))"),"")</f>
        <v/>
      </c>
    </row>
    <row r="3759">
      <c r="A3759" s="132"/>
      <c r="B3759" s="41"/>
      <c r="C3759" s="9"/>
      <c r="D3759" s="133"/>
      <c r="E3759" s="133"/>
      <c r="F3759" s="24"/>
      <c r="G3759" s="24"/>
      <c r="I3759" s="13" t="str">
        <f>IFERROR(__xludf.DUMMYFUNCTION("if(isblank(A3759),,split(A3759,""-""))"),"")</f>
        <v/>
      </c>
      <c r="K3759" s="13" t="str">
        <f>IFERROR(__xludf.DUMMYFUNCTION("if(isblank(B3759),,split(B3759,""-""))"),"")</f>
        <v/>
      </c>
    </row>
    <row r="3760">
      <c r="A3760" s="132"/>
      <c r="B3760" s="41"/>
      <c r="C3760" s="9"/>
      <c r="D3760" s="133"/>
      <c r="E3760" s="133"/>
      <c r="F3760" s="24"/>
      <c r="G3760" s="24"/>
      <c r="I3760" s="13" t="str">
        <f>IFERROR(__xludf.DUMMYFUNCTION("if(isblank(A3760),,split(A3760,""-""))"),"")</f>
        <v/>
      </c>
      <c r="K3760" s="13" t="str">
        <f>IFERROR(__xludf.DUMMYFUNCTION("if(isblank(B3760),,split(B3760,""-""))"),"")</f>
        <v/>
      </c>
    </row>
    <row r="3761">
      <c r="A3761" s="132"/>
      <c r="B3761" s="41"/>
      <c r="C3761" s="9"/>
      <c r="D3761" s="133"/>
      <c r="E3761" s="133"/>
      <c r="F3761" s="24"/>
      <c r="G3761" s="24"/>
      <c r="I3761" s="13" t="str">
        <f>IFERROR(__xludf.DUMMYFUNCTION("if(isblank(A3761),,split(A3761,""-""))"),"")</f>
        <v/>
      </c>
      <c r="K3761" s="13" t="str">
        <f>IFERROR(__xludf.DUMMYFUNCTION("if(isblank(B3761),,split(B3761,""-""))"),"")</f>
        <v/>
      </c>
    </row>
    <row r="3762">
      <c r="A3762" s="132"/>
      <c r="B3762" s="41"/>
      <c r="C3762" s="9"/>
      <c r="D3762" s="133"/>
      <c r="E3762" s="133"/>
      <c r="F3762" s="24"/>
      <c r="G3762" s="24"/>
      <c r="I3762" s="13" t="str">
        <f>IFERROR(__xludf.DUMMYFUNCTION("if(isblank(A3762),,split(A3762,""-""))"),"")</f>
        <v/>
      </c>
      <c r="K3762" s="13" t="str">
        <f>IFERROR(__xludf.DUMMYFUNCTION("if(isblank(B3762),,split(B3762,""-""))"),"")</f>
        <v/>
      </c>
    </row>
    <row r="3763">
      <c r="A3763" s="132"/>
      <c r="B3763" s="41"/>
      <c r="C3763" s="9"/>
      <c r="D3763" s="133"/>
      <c r="E3763" s="133"/>
      <c r="F3763" s="24"/>
      <c r="G3763" s="24"/>
      <c r="I3763" s="13" t="str">
        <f>IFERROR(__xludf.DUMMYFUNCTION("if(isblank(A3763),,split(A3763,""-""))"),"")</f>
        <v/>
      </c>
      <c r="K3763" s="13" t="str">
        <f>IFERROR(__xludf.DUMMYFUNCTION("if(isblank(B3763),,split(B3763,""-""))"),"")</f>
        <v/>
      </c>
    </row>
    <row r="3764">
      <c r="A3764" s="132"/>
      <c r="B3764" s="41"/>
      <c r="C3764" s="9"/>
      <c r="D3764" s="133"/>
      <c r="E3764" s="133"/>
      <c r="F3764" s="24"/>
      <c r="G3764" s="24"/>
      <c r="I3764" s="13" t="str">
        <f>IFERROR(__xludf.DUMMYFUNCTION("if(isblank(A3764),,split(A3764,""-""))"),"")</f>
        <v/>
      </c>
      <c r="K3764" s="13" t="str">
        <f>IFERROR(__xludf.DUMMYFUNCTION("if(isblank(B3764),,split(B3764,""-""))"),"")</f>
        <v/>
      </c>
    </row>
    <row r="3765">
      <c r="A3765" s="132"/>
      <c r="B3765" s="41"/>
      <c r="C3765" s="9"/>
      <c r="D3765" s="133"/>
      <c r="E3765" s="133"/>
      <c r="F3765" s="24"/>
      <c r="G3765" s="24"/>
      <c r="I3765" s="13" t="str">
        <f>IFERROR(__xludf.DUMMYFUNCTION("if(isblank(A3765),,split(A3765,""-""))"),"")</f>
        <v/>
      </c>
      <c r="K3765" s="13" t="str">
        <f>IFERROR(__xludf.DUMMYFUNCTION("if(isblank(B3765),,split(B3765,""-""))"),"")</f>
        <v/>
      </c>
    </row>
    <row r="3766">
      <c r="A3766" s="132"/>
      <c r="B3766" s="41"/>
      <c r="C3766" s="9"/>
      <c r="D3766" s="133"/>
      <c r="E3766" s="133"/>
      <c r="F3766" s="24"/>
      <c r="G3766" s="24"/>
      <c r="I3766" s="13" t="str">
        <f>IFERROR(__xludf.DUMMYFUNCTION("if(isblank(A3766),,split(A3766,""-""))"),"")</f>
        <v/>
      </c>
      <c r="K3766" s="13" t="str">
        <f>IFERROR(__xludf.DUMMYFUNCTION("if(isblank(B3766),,split(B3766,""-""))"),"")</f>
        <v/>
      </c>
    </row>
    <row r="3767">
      <c r="A3767" s="132"/>
      <c r="B3767" s="41"/>
      <c r="C3767" s="9"/>
      <c r="D3767" s="133"/>
      <c r="E3767" s="133"/>
      <c r="F3767" s="24"/>
      <c r="G3767" s="24"/>
      <c r="I3767" s="13" t="str">
        <f>IFERROR(__xludf.DUMMYFUNCTION("if(isblank(A3767),,split(A3767,""-""))"),"")</f>
        <v/>
      </c>
      <c r="K3767" s="13" t="str">
        <f>IFERROR(__xludf.DUMMYFUNCTION("if(isblank(B3767),,split(B3767,""-""))"),"")</f>
        <v/>
      </c>
    </row>
    <row r="3768">
      <c r="A3768" s="132"/>
      <c r="B3768" s="41"/>
      <c r="C3768" s="9"/>
      <c r="D3768" s="133"/>
      <c r="E3768" s="133"/>
      <c r="F3768" s="24"/>
      <c r="G3768" s="24"/>
      <c r="I3768" s="13" t="str">
        <f>IFERROR(__xludf.DUMMYFUNCTION("if(isblank(A3768),,split(A3768,""-""))"),"")</f>
        <v/>
      </c>
      <c r="K3768" s="13" t="str">
        <f>IFERROR(__xludf.DUMMYFUNCTION("if(isblank(B3768),,split(B3768,""-""))"),"")</f>
        <v/>
      </c>
    </row>
    <row r="3769">
      <c r="A3769" s="132"/>
      <c r="B3769" s="41"/>
      <c r="C3769" s="9"/>
      <c r="D3769" s="133"/>
      <c r="E3769" s="133"/>
      <c r="F3769" s="24"/>
      <c r="G3769" s="24"/>
      <c r="I3769" s="13" t="str">
        <f>IFERROR(__xludf.DUMMYFUNCTION("if(isblank(A3769),,split(A3769,""-""))"),"")</f>
        <v/>
      </c>
      <c r="K3769" s="13" t="str">
        <f>IFERROR(__xludf.DUMMYFUNCTION("if(isblank(B3769),,split(B3769,""-""))"),"")</f>
        <v/>
      </c>
    </row>
    <row r="3770">
      <c r="A3770" s="132"/>
      <c r="B3770" s="41"/>
      <c r="C3770" s="9"/>
      <c r="D3770" s="133"/>
      <c r="E3770" s="133"/>
      <c r="F3770" s="24"/>
      <c r="G3770" s="24"/>
      <c r="I3770" s="13" t="str">
        <f>IFERROR(__xludf.DUMMYFUNCTION("if(isblank(A3770),,split(A3770,""-""))"),"")</f>
        <v/>
      </c>
      <c r="K3770" s="13" t="str">
        <f>IFERROR(__xludf.DUMMYFUNCTION("if(isblank(B3770),,split(B3770,""-""))"),"")</f>
        <v/>
      </c>
    </row>
    <row r="3771">
      <c r="A3771" s="132"/>
      <c r="B3771" s="41"/>
      <c r="C3771" s="9"/>
      <c r="D3771" s="133"/>
      <c r="E3771" s="133"/>
      <c r="F3771" s="24"/>
      <c r="G3771" s="24"/>
      <c r="I3771" s="13" t="str">
        <f>IFERROR(__xludf.DUMMYFUNCTION("if(isblank(A3771),,split(A3771,""-""))"),"")</f>
        <v/>
      </c>
      <c r="K3771" s="13" t="str">
        <f>IFERROR(__xludf.DUMMYFUNCTION("if(isblank(B3771),,split(B3771,""-""))"),"")</f>
        <v/>
      </c>
    </row>
    <row r="3772">
      <c r="A3772" s="132"/>
      <c r="B3772" s="41"/>
      <c r="C3772" s="9"/>
      <c r="D3772" s="133"/>
      <c r="E3772" s="133"/>
      <c r="F3772" s="24"/>
      <c r="G3772" s="24"/>
      <c r="I3772" s="13" t="str">
        <f>IFERROR(__xludf.DUMMYFUNCTION("if(isblank(A3772),,split(A3772,""-""))"),"")</f>
        <v/>
      </c>
      <c r="K3772" s="13" t="str">
        <f>IFERROR(__xludf.DUMMYFUNCTION("if(isblank(B3772),,split(B3772,""-""))"),"")</f>
        <v/>
      </c>
    </row>
    <row r="3773">
      <c r="A3773" s="132"/>
      <c r="B3773" s="41"/>
      <c r="C3773" s="9"/>
      <c r="D3773" s="133"/>
      <c r="E3773" s="133"/>
      <c r="F3773" s="24"/>
      <c r="G3773" s="24"/>
      <c r="I3773" s="13" t="str">
        <f>IFERROR(__xludf.DUMMYFUNCTION("if(isblank(A3773),,split(A3773,""-""))"),"")</f>
        <v/>
      </c>
      <c r="K3773" s="13" t="str">
        <f>IFERROR(__xludf.DUMMYFUNCTION("if(isblank(B3773),,split(B3773,""-""))"),"")</f>
        <v/>
      </c>
    </row>
    <row r="3774">
      <c r="A3774" s="132"/>
      <c r="B3774" s="41"/>
      <c r="C3774" s="9"/>
      <c r="D3774" s="133"/>
      <c r="E3774" s="133"/>
      <c r="F3774" s="24"/>
      <c r="G3774" s="24"/>
      <c r="I3774" s="13" t="str">
        <f>IFERROR(__xludf.DUMMYFUNCTION("if(isblank(A3774),,split(A3774,""-""))"),"")</f>
        <v/>
      </c>
      <c r="K3774" s="13" t="str">
        <f>IFERROR(__xludf.DUMMYFUNCTION("if(isblank(B3774),,split(B3774,""-""))"),"")</f>
        <v/>
      </c>
    </row>
    <row r="3775">
      <c r="A3775" s="132"/>
      <c r="B3775" s="41"/>
      <c r="C3775" s="9"/>
      <c r="D3775" s="133"/>
      <c r="E3775" s="133"/>
      <c r="F3775" s="24"/>
      <c r="G3775" s="24"/>
      <c r="I3775" s="13" t="str">
        <f>IFERROR(__xludf.DUMMYFUNCTION("if(isblank(A3775),,split(A3775,""-""))"),"")</f>
        <v/>
      </c>
      <c r="K3775" s="13" t="str">
        <f>IFERROR(__xludf.DUMMYFUNCTION("if(isblank(B3775),,split(B3775,""-""))"),"")</f>
        <v/>
      </c>
    </row>
    <row r="3776">
      <c r="A3776" s="132"/>
      <c r="B3776" s="41"/>
      <c r="C3776" s="9"/>
      <c r="D3776" s="133"/>
      <c r="E3776" s="133"/>
      <c r="F3776" s="24"/>
      <c r="G3776" s="24"/>
      <c r="I3776" s="13" t="str">
        <f>IFERROR(__xludf.DUMMYFUNCTION("if(isblank(A3776),,split(A3776,""-""))"),"")</f>
        <v/>
      </c>
      <c r="K3776" s="13" t="str">
        <f>IFERROR(__xludf.DUMMYFUNCTION("if(isblank(B3776),,split(B3776,""-""))"),"")</f>
        <v/>
      </c>
    </row>
    <row r="3777">
      <c r="A3777" s="132"/>
      <c r="B3777" s="41"/>
      <c r="C3777" s="9"/>
      <c r="D3777" s="133"/>
      <c r="E3777" s="133"/>
      <c r="F3777" s="24"/>
      <c r="G3777" s="24"/>
      <c r="I3777" s="13" t="str">
        <f>IFERROR(__xludf.DUMMYFUNCTION("if(isblank(A3777),,split(A3777,""-""))"),"")</f>
        <v/>
      </c>
      <c r="K3777" s="13" t="str">
        <f>IFERROR(__xludf.DUMMYFUNCTION("if(isblank(B3777),,split(B3777,""-""))"),"")</f>
        <v/>
      </c>
    </row>
    <row r="3778">
      <c r="A3778" s="132"/>
      <c r="B3778" s="41"/>
      <c r="C3778" s="9"/>
      <c r="D3778" s="133"/>
      <c r="E3778" s="133"/>
      <c r="F3778" s="24"/>
      <c r="G3778" s="24"/>
      <c r="I3778" s="13" t="str">
        <f>IFERROR(__xludf.DUMMYFUNCTION("if(isblank(A3778),,split(A3778,""-""))"),"")</f>
        <v/>
      </c>
      <c r="K3778" s="13" t="str">
        <f>IFERROR(__xludf.DUMMYFUNCTION("if(isblank(B3778),,split(B3778,""-""))"),"")</f>
        <v/>
      </c>
    </row>
    <row r="3779">
      <c r="A3779" s="132"/>
      <c r="B3779" s="41"/>
      <c r="C3779" s="9"/>
      <c r="D3779" s="133"/>
      <c r="E3779" s="133"/>
      <c r="F3779" s="24"/>
      <c r="G3779" s="24"/>
      <c r="I3779" s="13" t="str">
        <f>IFERROR(__xludf.DUMMYFUNCTION("if(isblank(A3779),,split(A3779,""-""))"),"")</f>
        <v/>
      </c>
      <c r="K3779" s="13" t="str">
        <f>IFERROR(__xludf.DUMMYFUNCTION("if(isblank(B3779),,split(B3779,""-""))"),"")</f>
        <v/>
      </c>
    </row>
    <row r="3780">
      <c r="A3780" s="132"/>
      <c r="B3780" s="41"/>
      <c r="C3780" s="9"/>
      <c r="D3780" s="133"/>
      <c r="E3780" s="133"/>
      <c r="F3780" s="24"/>
      <c r="G3780" s="24"/>
      <c r="I3780" s="13" t="str">
        <f>IFERROR(__xludf.DUMMYFUNCTION("if(isblank(A3780),,split(A3780,""-""))"),"")</f>
        <v/>
      </c>
      <c r="K3780" s="13" t="str">
        <f>IFERROR(__xludf.DUMMYFUNCTION("if(isblank(B3780),,split(B3780,""-""))"),"")</f>
        <v/>
      </c>
    </row>
    <row r="3781">
      <c r="A3781" s="132"/>
      <c r="B3781" s="41"/>
      <c r="C3781" s="9"/>
      <c r="D3781" s="133"/>
      <c r="E3781" s="133"/>
      <c r="F3781" s="24"/>
      <c r="G3781" s="24"/>
      <c r="I3781" s="13" t="str">
        <f>IFERROR(__xludf.DUMMYFUNCTION("if(isblank(A3781),,split(A3781,""-""))"),"")</f>
        <v/>
      </c>
      <c r="K3781" s="13" t="str">
        <f>IFERROR(__xludf.DUMMYFUNCTION("if(isblank(B3781),,split(B3781,""-""))"),"")</f>
        <v/>
      </c>
    </row>
    <row r="3782">
      <c r="A3782" s="132"/>
      <c r="B3782" s="41"/>
      <c r="C3782" s="9"/>
      <c r="D3782" s="133"/>
      <c r="E3782" s="133"/>
      <c r="F3782" s="24"/>
      <c r="G3782" s="24"/>
      <c r="I3782" s="13" t="str">
        <f>IFERROR(__xludf.DUMMYFUNCTION("if(isblank(A3782),,split(A3782,""-""))"),"")</f>
        <v/>
      </c>
      <c r="K3782" s="13" t="str">
        <f>IFERROR(__xludf.DUMMYFUNCTION("if(isblank(B3782),,split(B3782,""-""))"),"")</f>
        <v/>
      </c>
    </row>
    <row r="3783">
      <c r="A3783" s="132"/>
      <c r="B3783" s="41"/>
      <c r="C3783" s="9"/>
      <c r="D3783" s="133"/>
      <c r="E3783" s="133"/>
      <c r="F3783" s="24"/>
      <c r="G3783" s="24"/>
      <c r="I3783" s="13" t="str">
        <f>IFERROR(__xludf.DUMMYFUNCTION("if(isblank(A3783),,split(A3783,""-""))"),"")</f>
        <v/>
      </c>
      <c r="K3783" s="13" t="str">
        <f>IFERROR(__xludf.DUMMYFUNCTION("if(isblank(B3783),,split(B3783,""-""))"),"")</f>
        <v/>
      </c>
    </row>
    <row r="3784">
      <c r="A3784" s="132"/>
      <c r="B3784" s="41"/>
      <c r="C3784" s="9"/>
      <c r="D3784" s="133"/>
      <c r="E3784" s="133"/>
      <c r="F3784" s="24"/>
      <c r="G3784" s="24"/>
      <c r="I3784" s="13" t="str">
        <f>IFERROR(__xludf.DUMMYFUNCTION("if(isblank(A3784),,split(A3784,""-""))"),"")</f>
        <v/>
      </c>
      <c r="K3784" s="13" t="str">
        <f>IFERROR(__xludf.DUMMYFUNCTION("if(isblank(B3784),,split(B3784,""-""))"),"")</f>
        <v/>
      </c>
    </row>
    <row r="3785">
      <c r="A3785" s="132"/>
      <c r="B3785" s="41"/>
      <c r="C3785" s="9"/>
      <c r="D3785" s="133"/>
      <c r="E3785" s="133"/>
      <c r="F3785" s="24"/>
      <c r="G3785" s="24"/>
      <c r="I3785" s="13" t="str">
        <f>IFERROR(__xludf.DUMMYFUNCTION("if(isblank(A3785),,split(A3785,""-""))"),"")</f>
        <v/>
      </c>
      <c r="K3785" s="13" t="str">
        <f>IFERROR(__xludf.DUMMYFUNCTION("if(isblank(B3785),,split(B3785,""-""))"),"")</f>
        <v/>
      </c>
    </row>
    <row r="3786">
      <c r="A3786" s="132"/>
      <c r="B3786" s="41"/>
      <c r="C3786" s="9"/>
      <c r="D3786" s="133"/>
      <c r="E3786" s="133"/>
      <c r="F3786" s="24"/>
      <c r="G3786" s="24"/>
      <c r="I3786" s="13" t="str">
        <f>IFERROR(__xludf.DUMMYFUNCTION("if(isblank(A3786),,split(A3786,""-""))"),"")</f>
        <v/>
      </c>
      <c r="K3786" s="13" t="str">
        <f>IFERROR(__xludf.DUMMYFUNCTION("if(isblank(B3786),,split(B3786,""-""))"),"")</f>
        <v/>
      </c>
    </row>
    <row r="3787">
      <c r="A3787" s="132"/>
      <c r="B3787" s="41"/>
      <c r="C3787" s="9"/>
      <c r="D3787" s="133"/>
      <c r="E3787" s="133"/>
      <c r="F3787" s="24"/>
      <c r="G3787" s="24"/>
      <c r="I3787" s="13" t="str">
        <f>IFERROR(__xludf.DUMMYFUNCTION("if(isblank(A3787),,split(A3787,""-""))"),"")</f>
        <v/>
      </c>
      <c r="K3787" s="13" t="str">
        <f>IFERROR(__xludf.DUMMYFUNCTION("if(isblank(B3787),,split(B3787,""-""))"),"")</f>
        <v/>
      </c>
    </row>
    <row r="3788">
      <c r="A3788" s="132"/>
      <c r="B3788" s="41"/>
      <c r="C3788" s="9"/>
      <c r="D3788" s="133"/>
      <c r="E3788" s="133"/>
      <c r="F3788" s="24"/>
      <c r="G3788" s="24"/>
      <c r="I3788" s="13" t="str">
        <f>IFERROR(__xludf.DUMMYFUNCTION("if(isblank(A3788),,split(A3788,""-""))"),"")</f>
        <v/>
      </c>
      <c r="K3788" s="13" t="str">
        <f>IFERROR(__xludf.DUMMYFUNCTION("if(isblank(B3788),,split(B3788,""-""))"),"")</f>
        <v/>
      </c>
    </row>
    <row r="3789">
      <c r="A3789" s="132"/>
      <c r="B3789" s="41"/>
      <c r="C3789" s="9"/>
      <c r="D3789" s="133"/>
      <c r="E3789" s="133"/>
      <c r="F3789" s="24"/>
      <c r="G3789" s="24"/>
      <c r="I3789" s="13" t="str">
        <f>IFERROR(__xludf.DUMMYFUNCTION("if(isblank(A3789),,split(A3789,""-""))"),"")</f>
        <v/>
      </c>
      <c r="K3789" s="13" t="str">
        <f>IFERROR(__xludf.DUMMYFUNCTION("if(isblank(B3789),,split(B3789,""-""))"),"")</f>
        <v/>
      </c>
    </row>
    <row r="3790">
      <c r="A3790" s="132"/>
      <c r="B3790" s="41"/>
      <c r="C3790" s="9"/>
      <c r="D3790" s="133"/>
      <c r="E3790" s="133"/>
      <c r="F3790" s="24"/>
      <c r="G3790" s="24"/>
      <c r="I3790" s="13" t="str">
        <f>IFERROR(__xludf.DUMMYFUNCTION("if(isblank(A3790),,split(A3790,""-""))"),"")</f>
        <v/>
      </c>
      <c r="K3790" s="13" t="str">
        <f>IFERROR(__xludf.DUMMYFUNCTION("if(isblank(B3790),,split(B3790,""-""))"),"")</f>
        <v/>
      </c>
    </row>
    <row r="3791">
      <c r="A3791" s="132"/>
      <c r="B3791" s="41"/>
      <c r="C3791" s="9"/>
      <c r="D3791" s="133"/>
      <c r="E3791" s="133"/>
      <c r="F3791" s="24"/>
      <c r="G3791" s="24"/>
      <c r="I3791" s="13" t="str">
        <f>IFERROR(__xludf.DUMMYFUNCTION("if(isblank(A3791),,split(A3791,""-""))"),"")</f>
        <v/>
      </c>
      <c r="K3791" s="13" t="str">
        <f>IFERROR(__xludf.DUMMYFUNCTION("if(isblank(B3791),,split(B3791,""-""))"),"")</f>
        <v/>
      </c>
    </row>
    <row r="3792">
      <c r="A3792" s="132"/>
      <c r="B3792" s="41"/>
      <c r="C3792" s="9"/>
      <c r="D3792" s="133"/>
      <c r="E3792" s="133"/>
      <c r="F3792" s="24"/>
      <c r="G3792" s="24"/>
      <c r="I3792" s="13" t="str">
        <f>IFERROR(__xludf.DUMMYFUNCTION("if(isblank(A3792),,split(A3792,""-""))"),"")</f>
        <v/>
      </c>
      <c r="K3792" s="13" t="str">
        <f>IFERROR(__xludf.DUMMYFUNCTION("if(isblank(B3792),,split(B3792,""-""))"),"")</f>
        <v/>
      </c>
    </row>
    <row r="3793">
      <c r="A3793" s="132"/>
      <c r="B3793" s="41"/>
      <c r="C3793" s="9"/>
      <c r="D3793" s="133"/>
      <c r="E3793" s="133"/>
      <c r="F3793" s="24"/>
      <c r="G3793" s="24"/>
      <c r="I3793" s="13" t="str">
        <f>IFERROR(__xludf.DUMMYFUNCTION("if(isblank(A3793),,split(A3793,""-""))"),"")</f>
        <v/>
      </c>
      <c r="K3793" s="13" t="str">
        <f>IFERROR(__xludf.DUMMYFUNCTION("if(isblank(B3793),,split(B3793,""-""))"),"")</f>
        <v/>
      </c>
    </row>
    <row r="3794">
      <c r="A3794" s="132"/>
      <c r="B3794" s="41"/>
      <c r="C3794" s="9"/>
      <c r="D3794" s="133"/>
      <c r="E3794" s="133"/>
      <c r="F3794" s="24"/>
      <c r="G3794" s="24"/>
      <c r="I3794" s="13" t="str">
        <f>IFERROR(__xludf.DUMMYFUNCTION("if(isblank(A3794),,split(A3794,""-""))"),"")</f>
        <v/>
      </c>
      <c r="K3794" s="13" t="str">
        <f>IFERROR(__xludf.DUMMYFUNCTION("if(isblank(B3794),,split(B3794,""-""))"),"")</f>
        <v/>
      </c>
    </row>
    <row r="3795">
      <c r="A3795" s="132"/>
      <c r="B3795" s="41"/>
      <c r="C3795" s="9"/>
      <c r="D3795" s="133"/>
      <c r="E3795" s="133"/>
      <c r="F3795" s="24"/>
      <c r="G3795" s="24"/>
      <c r="I3795" s="13" t="str">
        <f>IFERROR(__xludf.DUMMYFUNCTION("if(isblank(A3795),,split(A3795,""-""))"),"")</f>
        <v/>
      </c>
      <c r="K3795" s="13" t="str">
        <f>IFERROR(__xludf.DUMMYFUNCTION("if(isblank(B3795),,split(B3795,""-""))"),"")</f>
        <v/>
      </c>
    </row>
    <row r="3796">
      <c r="A3796" s="132"/>
      <c r="B3796" s="41"/>
      <c r="C3796" s="9"/>
      <c r="D3796" s="133"/>
      <c r="E3796" s="133"/>
      <c r="F3796" s="24"/>
      <c r="G3796" s="24"/>
      <c r="I3796" s="13" t="str">
        <f>IFERROR(__xludf.DUMMYFUNCTION("if(isblank(A3796),,split(A3796,""-""))"),"")</f>
        <v/>
      </c>
      <c r="K3796" s="13" t="str">
        <f>IFERROR(__xludf.DUMMYFUNCTION("if(isblank(B3796),,split(B3796,""-""))"),"")</f>
        <v/>
      </c>
    </row>
    <row r="3797">
      <c r="A3797" s="132"/>
      <c r="B3797" s="41"/>
      <c r="C3797" s="9"/>
      <c r="D3797" s="133"/>
      <c r="E3797" s="133"/>
      <c r="F3797" s="24"/>
      <c r="G3797" s="24"/>
      <c r="I3797" s="13" t="str">
        <f>IFERROR(__xludf.DUMMYFUNCTION("if(isblank(A3797),,split(A3797,""-""))"),"")</f>
        <v/>
      </c>
      <c r="K3797" s="13" t="str">
        <f>IFERROR(__xludf.DUMMYFUNCTION("if(isblank(B3797),,split(B3797,""-""))"),"")</f>
        <v/>
      </c>
    </row>
    <row r="3798">
      <c r="A3798" s="132"/>
      <c r="B3798" s="41"/>
      <c r="C3798" s="9"/>
      <c r="D3798" s="133"/>
      <c r="E3798" s="133"/>
      <c r="F3798" s="24"/>
      <c r="G3798" s="24"/>
      <c r="I3798" s="13" t="str">
        <f>IFERROR(__xludf.DUMMYFUNCTION("if(isblank(A3798),,split(A3798,""-""))"),"")</f>
        <v/>
      </c>
      <c r="K3798" s="13" t="str">
        <f>IFERROR(__xludf.DUMMYFUNCTION("if(isblank(B3798),,split(B3798,""-""))"),"")</f>
        <v/>
      </c>
    </row>
    <row r="3799">
      <c r="A3799" s="132"/>
      <c r="B3799" s="41"/>
      <c r="C3799" s="9"/>
      <c r="D3799" s="133"/>
      <c r="E3799" s="133"/>
      <c r="F3799" s="24"/>
      <c r="G3799" s="24"/>
      <c r="I3799" s="13" t="str">
        <f>IFERROR(__xludf.DUMMYFUNCTION("if(isblank(A3799),,split(A3799,""-""))"),"")</f>
        <v/>
      </c>
      <c r="K3799" s="13" t="str">
        <f>IFERROR(__xludf.DUMMYFUNCTION("if(isblank(B3799),,split(B3799,""-""))"),"")</f>
        <v/>
      </c>
    </row>
    <row r="3800">
      <c r="A3800" s="132"/>
      <c r="B3800" s="41"/>
      <c r="C3800" s="9"/>
      <c r="D3800" s="133"/>
      <c r="E3800" s="133"/>
      <c r="F3800" s="24"/>
      <c r="G3800" s="24"/>
      <c r="I3800" s="13" t="str">
        <f>IFERROR(__xludf.DUMMYFUNCTION("if(isblank(A3800),,split(A3800,""-""))"),"")</f>
        <v/>
      </c>
      <c r="K3800" s="13" t="str">
        <f>IFERROR(__xludf.DUMMYFUNCTION("if(isblank(B3800),,split(B3800,""-""))"),"")</f>
        <v/>
      </c>
    </row>
    <row r="3801">
      <c r="A3801" s="132"/>
      <c r="B3801" s="41"/>
      <c r="C3801" s="9"/>
      <c r="D3801" s="133"/>
      <c r="E3801" s="133"/>
      <c r="F3801" s="24"/>
      <c r="G3801" s="24"/>
      <c r="I3801" s="13" t="str">
        <f>IFERROR(__xludf.DUMMYFUNCTION("if(isblank(A3801),,split(A3801,""-""))"),"")</f>
        <v/>
      </c>
      <c r="K3801" s="13" t="str">
        <f>IFERROR(__xludf.DUMMYFUNCTION("if(isblank(B3801),,split(B3801,""-""))"),"")</f>
        <v/>
      </c>
    </row>
    <row r="3802">
      <c r="A3802" s="132"/>
      <c r="B3802" s="41"/>
      <c r="C3802" s="9"/>
      <c r="D3802" s="133"/>
      <c r="E3802" s="133"/>
      <c r="F3802" s="24"/>
      <c r="G3802" s="24"/>
      <c r="I3802" s="13" t="str">
        <f>IFERROR(__xludf.DUMMYFUNCTION("if(isblank(A3802),,split(A3802,""-""))"),"")</f>
        <v/>
      </c>
      <c r="K3802" s="13" t="str">
        <f>IFERROR(__xludf.DUMMYFUNCTION("if(isblank(B3802),,split(B3802,""-""))"),"")</f>
        <v/>
      </c>
    </row>
    <row r="3803">
      <c r="A3803" s="132"/>
      <c r="B3803" s="41"/>
      <c r="C3803" s="9"/>
      <c r="D3803" s="133"/>
      <c r="E3803" s="133"/>
      <c r="F3803" s="24"/>
      <c r="G3803" s="24"/>
      <c r="I3803" s="13" t="str">
        <f>IFERROR(__xludf.DUMMYFUNCTION("if(isblank(A3803),,split(A3803,""-""))"),"")</f>
        <v/>
      </c>
      <c r="K3803" s="13" t="str">
        <f>IFERROR(__xludf.DUMMYFUNCTION("if(isblank(B3803),,split(B3803,""-""))"),"")</f>
        <v/>
      </c>
    </row>
    <row r="3804">
      <c r="A3804" s="132"/>
      <c r="B3804" s="41"/>
      <c r="C3804" s="9"/>
      <c r="D3804" s="133"/>
      <c r="E3804" s="133"/>
      <c r="F3804" s="24"/>
      <c r="G3804" s="24"/>
      <c r="I3804" s="13" t="str">
        <f>IFERROR(__xludf.DUMMYFUNCTION("if(isblank(A3804),,split(A3804,""-""))"),"")</f>
        <v/>
      </c>
      <c r="K3804" s="13" t="str">
        <f>IFERROR(__xludf.DUMMYFUNCTION("if(isblank(B3804),,split(B3804,""-""))"),"")</f>
        <v/>
      </c>
    </row>
    <row r="3805">
      <c r="A3805" s="132"/>
      <c r="B3805" s="41"/>
      <c r="C3805" s="9"/>
      <c r="D3805" s="133"/>
      <c r="E3805" s="133"/>
      <c r="F3805" s="24"/>
      <c r="G3805" s="24"/>
      <c r="I3805" s="13" t="str">
        <f>IFERROR(__xludf.DUMMYFUNCTION("if(isblank(A3805),,split(A3805,""-""))"),"")</f>
        <v/>
      </c>
      <c r="K3805" s="13" t="str">
        <f>IFERROR(__xludf.DUMMYFUNCTION("if(isblank(B3805),,split(B3805,""-""))"),"")</f>
        <v/>
      </c>
    </row>
    <row r="3806">
      <c r="A3806" s="132"/>
      <c r="B3806" s="41"/>
      <c r="C3806" s="9"/>
      <c r="D3806" s="133"/>
      <c r="E3806" s="133"/>
      <c r="F3806" s="24"/>
      <c r="G3806" s="24"/>
      <c r="I3806" s="13" t="str">
        <f>IFERROR(__xludf.DUMMYFUNCTION("if(isblank(A3806),,split(A3806,""-""))"),"")</f>
        <v/>
      </c>
      <c r="K3806" s="13" t="str">
        <f>IFERROR(__xludf.DUMMYFUNCTION("if(isblank(B3806),,split(B3806,""-""))"),"")</f>
        <v/>
      </c>
    </row>
    <row r="3807">
      <c r="A3807" s="132"/>
      <c r="B3807" s="41"/>
      <c r="C3807" s="9"/>
      <c r="D3807" s="133"/>
      <c r="E3807" s="133"/>
      <c r="F3807" s="24"/>
      <c r="G3807" s="24"/>
      <c r="I3807" s="13" t="str">
        <f>IFERROR(__xludf.DUMMYFUNCTION("if(isblank(A3807),,split(A3807,""-""))"),"")</f>
        <v/>
      </c>
      <c r="K3807" s="13" t="str">
        <f>IFERROR(__xludf.DUMMYFUNCTION("if(isblank(B3807),,split(B3807,""-""))"),"")</f>
        <v/>
      </c>
    </row>
    <row r="3808">
      <c r="A3808" s="132"/>
      <c r="B3808" s="41"/>
      <c r="C3808" s="9"/>
      <c r="D3808" s="133"/>
      <c r="E3808" s="133"/>
      <c r="F3808" s="24"/>
      <c r="G3808" s="24"/>
      <c r="I3808" s="13" t="str">
        <f>IFERROR(__xludf.DUMMYFUNCTION("if(isblank(A3808),,split(A3808,""-""))"),"")</f>
        <v/>
      </c>
      <c r="K3808" s="13" t="str">
        <f>IFERROR(__xludf.DUMMYFUNCTION("if(isblank(B3808),,split(B3808,""-""))"),"")</f>
        <v/>
      </c>
    </row>
    <row r="3809">
      <c r="A3809" s="132"/>
      <c r="B3809" s="41"/>
      <c r="C3809" s="9"/>
      <c r="D3809" s="133"/>
      <c r="E3809" s="133"/>
      <c r="F3809" s="24"/>
      <c r="G3809" s="24"/>
      <c r="I3809" s="13" t="str">
        <f>IFERROR(__xludf.DUMMYFUNCTION("if(isblank(A3809),,split(A3809,""-""))"),"")</f>
        <v/>
      </c>
      <c r="K3809" s="13" t="str">
        <f>IFERROR(__xludf.DUMMYFUNCTION("if(isblank(B3809),,split(B3809,""-""))"),"")</f>
        <v/>
      </c>
    </row>
    <row r="3810">
      <c r="A3810" s="132"/>
      <c r="B3810" s="41"/>
      <c r="C3810" s="9"/>
      <c r="D3810" s="133"/>
      <c r="E3810" s="133"/>
      <c r="F3810" s="24"/>
      <c r="G3810" s="24"/>
      <c r="I3810" s="13" t="str">
        <f>IFERROR(__xludf.DUMMYFUNCTION("if(isblank(A3810),,split(A3810,""-""))"),"")</f>
        <v/>
      </c>
      <c r="K3810" s="13" t="str">
        <f>IFERROR(__xludf.DUMMYFUNCTION("if(isblank(B3810),,split(B3810,""-""))"),"")</f>
        <v/>
      </c>
    </row>
    <row r="3811">
      <c r="A3811" s="132"/>
      <c r="B3811" s="41"/>
      <c r="C3811" s="9"/>
      <c r="D3811" s="133"/>
      <c r="E3811" s="133"/>
      <c r="F3811" s="24"/>
      <c r="G3811" s="24"/>
      <c r="I3811" s="13" t="str">
        <f>IFERROR(__xludf.DUMMYFUNCTION("if(isblank(A3811),,split(A3811,""-""))"),"")</f>
        <v/>
      </c>
      <c r="K3811" s="13" t="str">
        <f>IFERROR(__xludf.DUMMYFUNCTION("if(isblank(B3811),,split(B3811,""-""))"),"")</f>
        <v/>
      </c>
    </row>
    <row r="3812">
      <c r="A3812" s="132"/>
      <c r="B3812" s="41"/>
      <c r="C3812" s="9"/>
      <c r="D3812" s="133"/>
      <c r="E3812" s="133"/>
      <c r="F3812" s="24"/>
      <c r="G3812" s="24"/>
      <c r="I3812" s="13" t="str">
        <f>IFERROR(__xludf.DUMMYFUNCTION("if(isblank(A3812),,split(A3812,""-""))"),"")</f>
        <v/>
      </c>
      <c r="K3812" s="13" t="str">
        <f>IFERROR(__xludf.DUMMYFUNCTION("if(isblank(B3812),,split(B3812,""-""))"),"")</f>
        <v/>
      </c>
    </row>
    <row r="3813">
      <c r="A3813" s="132"/>
      <c r="B3813" s="41"/>
      <c r="C3813" s="9"/>
      <c r="D3813" s="133"/>
      <c r="E3813" s="133"/>
      <c r="F3813" s="24"/>
      <c r="G3813" s="24"/>
      <c r="I3813" s="13" t="str">
        <f>IFERROR(__xludf.DUMMYFUNCTION("if(isblank(A3813),,split(A3813,""-""))"),"")</f>
        <v/>
      </c>
      <c r="K3813" s="13" t="str">
        <f>IFERROR(__xludf.DUMMYFUNCTION("if(isblank(B3813),,split(B3813,""-""))"),"")</f>
        <v/>
      </c>
    </row>
    <row r="3814">
      <c r="A3814" s="132"/>
      <c r="B3814" s="41"/>
      <c r="C3814" s="9"/>
      <c r="D3814" s="133"/>
      <c r="E3814" s="133"/>
      <c r="F3814" s="24"/>
      <c r="G3814" s="24"/>
      <c r="I3814" s="13" t="str">
        <f>IFERROR(__xludf.DUMMYFUNCTION("if(isblank(A3814),,split(A3814,""-""))"),"")</f>
        <v/>
      </c>
      <c r="K3814" s="13" t="str">
        <f>IFERROR(__xludf.DUMMYFUNCTION("if(isblank(B3814),,split(B3814,""-""))"),"")</f>
        <v/>
      </c>
    </row>
    <row r="3815">
      <c r="A3815" s="132"/>
      <c r="B3815" s="41"/>
      <c r="C3815" s="9"/>
      <c r="D3815" s="133"/>
      <c r="E3815" s="133"/>
      <c r="F3815" s="24"/>
      <c r="G3815" s="24"/>
      <c r="I3815" s="13" t="str">
        <f>IFERROR(__xludf.DUMMYFUNCTION("if(isblank(A3815),,split(A3815,""-""))"),"")</f>
        <v/>
      </c>
      <c r="K3815" s="13" t="str">
        <f>IFERROR(__xludf.DUMMYFUNCTION("if(isblank(B3815),,split(B3815,""-""))"),"")</f>
        <v/>
      </c>
    </row>
    <row r="3816">
      <c r="A3816" s="132"/>
      <c r="B3816" s="41"/>
      <c r="C3816" s="9"/>
      <c r="D3816" s="133"/>
      <c r="E3816" s="133"/>
      <c r="F3816" s="24"/>
      <c r="G3816" s="24"/>
      <c r="I3816" s="13" t="str">
        <f>IFERROR(__xludf.DUMMYFUNCTION("if(isblank(A3816),,split(A3816,""-""))"),"")</f>
        <v/>
      </c>
      <c r="K3816" s="13" t="str">
        <f>IFERROR(__xludf.DUMMYFUNCTION("if(isblank(B3816),,split(B3816,""-""))"),"")</f>
        <v/>
      </c>
    </row>
    <row r="3817">
      <c r="A3817" s="132"/>
      <c r="B3817" s="41"/>
      <c r="C3817" s="9"/>
      <c r="D3817" s="133"/>
      <c r="E3817" s="133"/>
      <c r="F3817" s="24"/>
      <c r="G3817" s="24"/>
      <c r="I3817" s="13" t="str">
        <f>IFERROR(__xludf.DUMMYFUNCTION("if(isblank(A3817),,split(A3817,""-""))"),"")</f>
        <v/>
      </c>
      <c r="K3817" s="13" t="str">
        <f>IFERROR(__xludf.DUMMYFUNCTION("if(isblank(B3817),,split(B3817,""-""))"),"")</f>
        <v/>
      </c>
    </row>
    <row r="3818">
      <c r="A3818" s="132"/>
      <c r="B3818" s="41"/>
      <c r="C3818" s="9"/>
      <c r="D3818" s="133"/>
      <c r="E3818" s="133"/>
      <c r="F3818" s="24"/>
      <c r="G3818" s="24"/>
      <c r="I3818" s="13" t="str">
        <f>IFERROR(__xludf.DUMMYFUNCTION("if(isblank(A3818),,split(A3818,""-""))"),"")</f>
        <v/>
      </c>
      <c r="K3818" s="13" t="str">
        <f>IFERROR(__xludf.DUMMYFUNCTION("if(isblank(B3818),,split(B3818,""-""))"),"")</f>
        <v/>
      </c>
    </row>
    <row r="3819">
      <c r="A3819" s="132"/>
      <c r="B3819" s="41"/>
      <c r="C3819" s="9"/>
      <c r="D3819" s="133"/>
      <c r="E3819" s="133"/>
      <c r="F3819" s="24"/>
      <c r="G3819" s="24"/>
      <c r="I3819" s="13" t="str">
        <f>IFERROR(__xludf.DUMMYFUNCTION("if(isblank(A3819),,split(A3819,""-""))"),"")</f>
        <v/>
      </c>
      <c r="K3819" s="13" t="str">
        <f>IFERROR(__xludf.DUMMYFUNCTION("if(isblank(B3819),,split(B3819,""-""))"),"")</f>
        <v/>
      </c>
    </row>
    <row r="3820">
      <c r="A3820" s="132"/>
      <c r="B3820" s="41"/>
      <c r="C3820" s="9"/>
      <c r="D3820" s="133"/>
      <c r="E3820" s="133"/>
      <c r="F3820" s="24"/>
      <c r="G3820" s="24"/>
      <c r="I3820" s="13" t="str">
        <f>IFERROR(__xludf.DUMMYFUNCTION("if(isblank(A3820),,split(A3820,""-""))"),"")</f>
        <v/>
      </c>
      <c r="K3820" s="13" t="str">
        <f>IFERROR(__xludf.DUMMYFUNCTION("if(isblank(B3820),,split(B3820,""-""))"),"")</f>
        <v/>
      </c>
    </row>
    <row r="3821">
      <c r="A3821" s="132"/>
      <c r="B3821" s="41"/>
      <c r="C3821" s="9"/>
      <c r="D3821" s="133"/>
      <c r="E3821" s="133"/>
      <c r="F3821" s="24"/>
      <c r="G3821" s="24"/>
      <c r="I3821" s="13" t="str">
        <f>IFERROR(__xludf.DUMMYFUNCTION("if(isblank(A3821),,split(A3821,""-""))"),"")</f>
        <v/>
      </c>
      <c r="K3821" s="13" t="str">
        <f>IFERROR(__xludf.DUMMYFUNCTION("if(isblank(B3821),,split(B3821,""-""))"),"")</f>
        <v/>
      </c>
    </row>
    <row r="3822">
      <c r="A3822" s="132"/>
      <c r="B3822" s="41"/>
      <c r="C3822" s="9"/>
      <c r="D3822" s="133"/>
      <c r="E3822" s="133"/>
      <c r="F3822" s="24"/>
      <c r="G3822" s="24"/>
      <c r="I3822" s="13" t="str">
        <f>IFERROR(__xludf.DUMMYFUNCTION("if(isblank(A3822),,split(A3822,""-""))"),"")</f>
        <v/>
      </c>
      <c r="K3822" s="13" t="str">
        <f>IFERROR(__xludf.DUMMYFUNCTION("if(isblank(B3822),,split(B3822,""-""))"),"")</f>
        <v/>
      </c>
    </row>
    <row r="3823">
      <c r="A3823" s="132"/>
      <c r="B3823" s="41"/>
      <c r="C3823" s="9"/>
      <c r="D3823" s="133"/>
      <c r="E3823" s="133"/>
      <c r="F3823" s="24"/>
      <c r="G3823" s="24"/>
      <c r="I3823" s="13" t="str">
        <f>IFERROR(__xludf.DUMMYFUNCTION("if(isblank(A3823),,split(A3823,""-""))"),"")</f>
        <v/>
      </c>
      <c r="K3823" s="13" t="str">
        <f>IFERROR(__xludf.DUMMYFUNCTION("if(isblank(B3823),,split(B3823,""-""))"),"")</f>
        <v/>
      </c>
    </row>
    <row r="3824">
      <c r="A3824" s="132"/>
      <c r="B3824" s="41"/>
      <c r="C3824" s="9"/>
      <c r="D3824" s="133"/>
      <c r="E3824" s="133"/>
      <c r="F3824" s="24"/>
      <c r="G3824" s="24"/>
      <c r="I3824" s="13" t="str">
        <f>IFERROR(__xludf.DUMMYFUNCTION("if(isblank(A3824),,split(A3824,""-""))"),"")</f>
        <v/>
      </c>
      <c r="K3824" s="13" t="str">
        <f>IFERROR(__xludf.DUMMYFUNCTION("if(isblank(B3824),,split(B3824,""-""))"),"")</f>
        <v/>
      </c>
    </row>
    <row r="3825">
      <c r="A3825" s="132"/>
      <c r="B3825" s="41"/>
      <c r="C3825" s="9"/>
      <c r="D3825" s="133"/>
      <c r="E3825" s="133"/>
      <c r="F3825" s="24"/>
      <c r="G3825" s="24"/>
      <c r="I3825" s="13" t="str">
        <f>IFERROR(__xludf.DUMMYFUNCTION("if(isblank(A3825),,split(A3825,""-""))"),"")</f>
        <v/>
      </c>
      <c r="K3825" s="13" t="str">
        <f>IFERROR(__xludf.DUMMYFUNCTION("if(isblank(B3825),,split(B3825,""-""))"),"")</f>
        <v/>
      </c>
    </row>
    <row r="3826">
      <c r="A3826" s="132"/>
      <c r="B3826" s="41"/>
      <c r="C3826" s="9"/>
      <c r="D3826" s="133"/>
      <c r="E3826" s="133"/>
      <c r="F3826" s="24"/>
      <c r="G3826" s="24"/>
      <c r="I3826" s="13" t="str">
        <f>IFERROR(__xludf.DUMMYFUNCTION("if(isblank(A3826),,split(A3826,""-""))"),"")</f>
        <v/>
      </c>
      <c r="K3826" s="13" t="str">
        <f>IFERROR(__xludf.DUMMYFUNCTION("if(isblank(B3826),,split(B3826,""-""))"),"")</f>
        <v/>
      </c>
    </row>
    <row r="3827">
      <c r="A3827" s="132"/>
      <c r="B3827" s="41"/>
      <c r="C3827" s="9"/>
      <c r="D3827" s="133"/>
      <c r="E3827" s="133"/>
      <c r="F3827" s="24"/>
      <c r="G3827" s="24"/>
      <c r="I3827" s="13" t="str">
        <f>IFERROR(__xludf.DUMMYFUNCTION("if(isblank(A3827),,split(A3827,""-""))"),"")</f>
        <v/>
      </c>
      <c r="K3827" s="13" t="str">
        <f>IFERROR(__xludf.DUMMYFUNCTION("if(isblank(B3827),,split(B3827,""-""))"),"")</f>
        <v/>
      </c>
    </row>
    <row r="3828">
      <c r="A3828" s="132"/>
      <c r="B3828" s="41"/>
      <c r="C3828" s="9"/>
      <c r="D3828" s="133"/>
      <c r="E3828" s="133"/>
      <c r="F3828" s="24"/>
      <c r="G3828" s="24"/>
      <c r="I3828" s="13" t="str">
        <f>IFERROR(__xludf.DUMMYFUNCTION("if(isblank(A3828),,split(A3828,""-""))"),"")</f>
        <v/>
      </c>
      <c r="K3828" s="13" t="str">
        <f>IFERROR(__xludf.DUMMYFUNCTION("if(isblank(B3828),,split(B3828,""-""))"),"")</f>
        <v/>
      </c>
    </row>
    <row r="3829">
      <c r="A3829" s="132"/>
      <c r="B3829" s="41"/>
      <c r="C3829" s="9"/>
      <c r="D3829" s="133"/>
      <c r="E3829" s="133"/>
      <c r="F3829" s="24"/>
      <c r="G3829" s="24"/>
      <c r="I3829" s="13" t="str">
        <f>IFERROR(__xludf.DUMMYFUNCTION("if(isblank(A3829),,split(A3829,""-""))"),"")</f>
        <v/>
      </c>
      <c r="K3829" s="13" t="str">
        <f>IFERROR(__xludf.DUMMYFUNCTION("if(isblank(B3829),,split(B3829,""-""))"),"")</f>
        <v/>
      </c>
    </row>
    <row r="3830">
      <c r="A3830" s="132"/>
      <c r="B3830" s="41"/>
      <c r="C3830" s="9"/>
      <c r="D3830" s="133"/>
      <c r="E3830" s="133"/>
      <c r="F3830" s="24"/>
      <c r="G3830" s="24"/>
      <c r="I3830" s="13" t="str">
        <f>IFERROR(__xludf.DUMMYFUNCTION("if(isblank(A3830),,split(A3830,""-""))"),"")</f>
        <v/>
      </c>
      <c r="K3830" s="13" t="str">
        <f>IFERROR(__xludf.DUMMYFUNCTION("if(isblank(B3830),,split(B3830,""-""))"),"")</f>
        <v/>
      </c>
    </row>
    <row r="3831">
      <c r="A3831" s="132"/>
      <c r="B3831" s="41"/>
      <c r="C3831" s="9"/>
      <c r="D3831" s="133"/>
      <c r="E3831" s="133"/>
      <c r="F3831" s="24"/>
      <c r="G3831" s="24"/>
      <c r="I3831" s="13" t="str">
        <f>IFERROR(__xludf.DUMMYFUNCTION("if(isblank(A3831),,split(A3831,""-""))"),"")</f>
        <v/>
      </c>
      <c r="K3831" s="13" t="str">
        <f>IFERROR(__xludf.DUMMYFUNCTION("if(isblank(B3831),,split(B3831,""-""))"),"")</f>
        <v/>
      </c>
    </row>
    <row r="3832">
      <c r="A3832" s="132"/>
      <c r="B3832" s="41"/>
      <c r="C3832" s="9"/>
      <c r="D3832" s="133"/>
      <c r="E3832" s="133"/>
      <c r="F3832" s="24"/>
      <c r="G3832" s="24"/>
      <c r="I3832" s="13" t="str">
        <f>IFERROR(__xludf.DUMMYFUNCTION("if(isblank(A3832),,split(A3832,""-""))"),"")</f>
        <v/>
      </c>
      <c r="K3832" s="13" t="str">
        <f>IFERROR(__xludf.DUMMYFUNCTION("if(isblank(B3832),,split(B3832,""-""))"),"")</f>
        <v/>
      </c>
    </row>
    <row r="3833">
      <c r="A3833" s="132"/>
      <c r="B3833" s="41"/>
      <c r="C3833" s="9"/>
      <c r="D3833" s="133"/>
      <c r="E3833" s="133"/>
      <c r="F3833" s="24"/>
      <c r="G3833" s="24"/>
      <c r="I3833" s="13" t="str">
        <f>IFERROR(__xludf.DUMMYFUNCTION("if(isblank(A3833),,split(A3833,""-""))"),"")</f>
        <v/>
      </c>
      <c r="K3833" s="13" t="str">
        <f>IFERROR(__xludf.DUMMYFUNCTION("if(isblank(B3833),,split(B3833,""-""))"),"")</f>
        <v/>
      </c>
    </row>
    <row r="3834">
      <c r="A3834" s="132"/>
      <c r="B3834" s="41"/>
      <c r="C3834" s="9"/>
      <c r="D3834" s="133"/>
      <c r="E3834" s="133"/>
      <c r="F3834" s="24"/>
      <c r="G3834" s="24"/>
      <c r="I3834" s="13" t="str">
        <f>IFERROR(__xludf.DUMMYFUNCTION("if(isblank(A3834),,split(A3834,""-""))"),"")</f>
        <v/>
      </c>
      <c r="K3834" s="13" t="str">
        <f>IFERROR(__xludf.DUMMYFUNCTION("if(isblank(B3834),,split(B3834,""-""))"),"")</f>
        <v/>
      </c>
    </row>
    <row r="3835">
      <c r="A3835" s="132"/>
      <c r="B3835" s="41"/>
      <c r="C3835" s="9"/>
      <c r="D3835" s="133"/>
      <c r="E3835" s="133"/>
      <c r="F3835" s="24"/>
      <c r="G3835" s="24"/>
      <c r="I3835" s="13" t="str">
        <f>IFERROR(__xludf.DUMMYFUNCTION("if(isblank(A3835),,split(A3835,""-""))"),"")</f>
        <v/>
      </c>
      <c r="K3835" s="13" t="str">
        <f>IFERROR(__xludf.DUMMYFUNCTION("if(isblank(B3835),,split(B3835,""-""))"),"")</f>
        <v/>
      </c>
    </row>
    <row r="3836">
      <c r="A3836" s="132"/>
      <c r="B3836" s="41"/>
      <c r="C3836" s="9"/>
      <c r="D3836" s="133"/>
      <c r="E3836" s="133"/>
      <c r="F3836" s="24"/>
      <c r="G3836" s="24"/>
      <c r="I3836" s="13" t="str">
        <f>IFERROR(__xludf.DUMMYFUNCTION("if(isblank(A3836),,split(A3836,""-""))"),"")</f>
        <v/>
      </c>
      <c r="K3836" s="13" t="str">
        <f>IFERROR(__xludf.DUMMYFUNCTION("if(isblank(B3836),,split(B3836,""-""))"),"")</f>
        <v/>
      </c>
    </row>
    <row r="3837">
      <c r="A3837" s="132"/>
      <c r="B3837" s="41"/>
      <c r="C3837" s="9"/>
      <c r="D3837" s="133"/>
      <c r="E3837" s="133"/>
      <c r="F3837" s="24"/>
      <c r="G3837" s="24"/>
      <c r="I3837" s="13" t="str">
        <f>IFERROR(__xludf.DUMMYFUNCTION("if(isblank(A3837),,split(A3837,""-""))"),"")</f>
        <v/>
      </c>
      <c r="K3837" s="13" t="str">
        <f>IFERROR(__xludf.DUMMYFUNCTION("if(isblank(B3837),,split(B3837,""-""))"),"")</f>
        <v/>
      </c>
    </row>
    <row r="3838">
      <c r="A3838" s="132"/>
      <c r="B3838" s="41"/>
      <c r="C3838" s="9"/>
      <c r="D3838" s="133"/>
      <c r="E3838" s="133"/>
      <c r="F3838" s="24"/>
      <c r="G3838" s="24"/>
      <c r="I3838" s="13" t="str">
        <f>IFERROR(__xludf.DUMMYFUNCTION("if(isblank(A3838),,split(A3838,""-""))"),"")</f>
        <v/>
      </c>
      <c r="K3838" s="13" t="str">
        <f>IFERROR(__xludf.DUMMYFUNCTION("if(isblank(B3838),,split(B3838,""-""))"),"")</f>
        <v/>
      </c>
    </row>
    <row r="3839">
      <c r="A3839" s="132"/>
      <c r="B3839" s="41"/>
      <c r="C3839" s="9"/>
      <c r="D3839" s="133"/>
      <c r="E3839" s="133"/>
      <c r="F3839" s="24"/>
      <c r="G3839" s="24"/>
      <c r="I3839" s="13" t="str">
        <f>IFERROR(__xludf.DUMMYFUNCTION("if(isblank(A3839),,split(A3839,""-""))"),"")</f>
        <v/>
      </c>
      <c r="K3839" s="13" t="str">
        <f>IFERROR(__xludf.DUMMYFUNCTION("if(isblank(B3839),,split(B3839,""-""))"),"")</f>
        <v/>
      </c>
    </row>
    <row r="3840">
      <c r="A3840" s="132"/>
      <c r="B3840" s="41"/>
      <c r="C3840" s="9"/>
      <c r="D3840" s="133"/>
      <c r="E3840" s="133"/>
      <c r="F3840" s="24"/>
      <c r="G3840" s="24"/>
      <c r="I3840" s="13" t="str">
        <f>IFERROR(__xludf.DUMMYFUNCTION("if(isblank(A3840),,split(A3840,""-""))"),"")</f>
        <v/>
      </c>
      <c r="K3840" s="13" t="str">
        <f>IFERROR(__xludf.DUMMYFUNCTION("if(isblank(B3840),,split(B3840,""-""))"),"")</f>
        <v/>
      </c>
    </row>
    <row r="3841">
      <c r="A3841" s="132"/>
      <c r="B3841" s="41"/>
      <c r="C3841" s="9"/>
      <c r="D3841" s="133"/>
      <c r="E3841" s="133"/>
      <c r="F3841" s="24"/>
      <c r="G3841" s="24"/>
      <c r="I3841" s="13" t="str">
        <f>IFERROR(__xludf.DUMMYFUNCTION("if(isblank(A3841),,split(A3841,""-""))"),"")</f>
        <v/>
      </c>
      <c r="K3841" s="13" t="str">
        <f>IFERROR(__xludf.DUMMYFUNCTION("if(isblank(B3841),,split(B3841,""-""))"),"")</f>
        <v/>
      </c>
    </row>
    <row r="3842">
      <c r="A3842" s="132"/>
      <c r="B3842" s="41"/>
      <c r="C3842" s="9"/>
      <c r="D3842" s="133"/>
      <c r="E3842" s="133"/>
      <c r="F3842" s="24"/>
      <c r="G3842" s="24"/>
      <c r="I3842" s="13" t="str">
        <f>IFERROR(__xludf.DUMMYFUNCTION("if(isblank(A3842),,split(A3842,""-""))"),"")</f>
        <v/>
      </c>
      <c r="K3842" s="13" t="str">
        <f>IFERROR(__xludf.DUMMYFUNCTION("if(isblank(B3842),,split(B3842,""-""))"),"")</f>
        <v/>
      </c>
    </row>
    <row r="3843">
      <c r="A3843" s="132"/>
      <c r="B3843" s="41"/>
      <c r="C3843" s="9"/>
      <c r="D3843" s="133"/>
      <c r="E3843" s="133"/>
      <c r="F3843" s="24"/>
      <c r="G3843" s="24"/>
      <c r="I3843" s="13" t="str">
        <f>IFERROR(__xludf.DUMMYFUNCTION("if(isblank(A3843),,split(A3843,""-""))"),"")</f>
        <v/>
      </c>
      <c r="K3843" s="13" t="str">
        <f>IFERROR(__xludf.DUMMYFUNCTION("if(isblank(B3843),,split(B3843,""-""))"),"")</f>
        <v/>
      </c>
    </row>
    <row r="3844">
      <c r="A3844" s="132"/>
      <c r="B3844" s="41"/>
      <c r="C3844" s="9"/>
      <c r="D3844" s="133"/>
      <c r="E3844" s="133"/>
      <c r="F3844" s="24"/>
      <c r="G3844" s="24"/>
      <c r="I3844" s="13" t="str">
        <f>IFERROR(__xludf.DUMMYFUNCTION("if(isblank(A3844),,split(A3844,""-""))"),"")</f>
        <v/>
      </c>
      <c r="K3844" s="13" t="str">
        <f>IFERROR(__xludf.DUMMYFUNCTION("if(isblank(B3844),,split(B3844,""-""))"),"")</f>
        <v/>
      </c>
    </row>
    <row r="3845">
      <c r="A3845" s="132"/>
      <c r="B3845" s="41"/>
      <c r="C3845" s="9"/>
      <c r="D3845" s="133"/>
      <c r="E3845" s="133"/>
      <c r="F3845" s="24"/>
      <c r="G3845" s="24"/>
      <c r="I3845" s="13" t="str">
        <f>IFERROR(__xludf.DUMMYFUNCTION("if(isblank(A3845),,split(A3845,""-""))"),"")</f>
        <v/>
      </c>
      <c r="K3845" s="13" t="str">
        <f>IFERROR(__xludf.DUMMYFUNCTION("if(isblank(B3845),,split(B3845,""-""))"),"")</f>
        <v/>
      </c>
    </row>
    <row r="3846">
      <c r="A3846" s="132"/>
      <c r="B3846" s="41"/>
      <c r="C3846" s="9"/>
      <c r="D3846" s="133"/>
      <c r="E3846" s="133"/>
      <c r="F3846" s="24"/>
      <c r="G3846" s="24"/>
      <c r="I3846" s="13" t="str">
        <f>IFERROR(__xludf.DUMMYFUNCTION("if(isblank(A3846),,split(A3846,""-""))"),"")</f>
        <v/>
      </c>
      <c r="K3846" s="13" t="str">
        <f>IFERROR(__xludf.DUMMYFUNCTION("if(isblank(B3846),,split(B3846,""-""))"),"")</f>
        <v/>
      </c>
    </row>
    <row r="3847">
      <c r="A3847" s="132"/>
      <c r="B3847" s="41"/>
      <c r="C3847" s="9"/>
      <c r="D3847" s="133"/>
      <c r="E3847" s="133"/>
      <c r="F3847" s="24"/>
      <c r="G3847" s="24"/>
      <c r="I3847" s="13" t="str">
        <f>IFERROR(__xludf.DUMMYFUNCTION("if(isblank(A3847),,split(A3847,""-""))"),"")</f>
        <v/>
      </c>
      <c r="K3847" s="13" t="str">
        <f>IFERROR(__xludf.DUMMYFUNCTION("if(isblank(B3847),,split(B3847,""-""))"),"")</f>
        <v/>
      </c>
    </row>
    <row r="3848">
      <c r="A3848" s="132"/>
      <c r="B3848" s="41"/>
      <c r="C3848" s="9"/>
      <c r="D3848" s="133"/>
      <c r="E3848" s="133"/>
      <c r="F3848" s="24"/>
      <c r="G3848" s="24"/>
      <c r="I3848" s="13" t="str">
        <f>IFERROR(__xludf.DUMMYFUNCTION("if(isblank(A3848),,split(A3848,""-""))"),"")</f>
        <v/>
      </c>
      <c r="K3848" s="13" t="str">
        <f>IFERROR(__xludf.DUMMYFUNCTION("if(isblank(B3848),,split(B3848,""-""))"),"")</f>
        <v/>
      </c>
    </row>
    <row r="3849">
      <c r="A3849" s="132"/>
      <c r="B3849" s="41"/>
      <c r="C3849" s="9"/>
      <c r="D3849" s="133"/>
      <c r="E3849" s="133"/>
      <c r="F3849" s="24"/>
      <c r="G3849" s="24"/>
      <c r="I3849" s="13" t="str">
        <f>IFERROR(__xludf.DUMMYFUNCTION("if(isblank(A3849),,split(A3849,""-""))"),"")</f>
        <v/>
      </c>
      <c r="K3849" s="13" t="str">
        <f>IFERROR(__xludf.DUMMYFUNCTION("if(isblank(B3849),,split(B3849,""-""))"),"")</f>
        <v/>
      </c>
    </row>
    <row r="3850">
      <c r="A3850" s="132"/>
      <c r="B3850" s="41"/>
      <c r="C3850" s="9"/>
      <c r="D3850" s="133"/>
      <c r="E3850" s="133"/>
      <c r="F3850" s="24"/>
      <c r="G3850" s="24"/>
      <c r="I3850" s="13" t="str">
        <f>IFERROR(__xludf.DUMMYFUNCTION("if(isblank(A3850),,split(A3850,""-""))"),"")</f>
        <v/>
      </c>
      <c r="K3850" s="13" t="str">
        <f>IFERROR(__xludf.DUMMYFUNCTION("if(isblank(B3850),,split(B3850,""-""))"),"")</f>
        <v/>
      </c>
    </row>
    <row r="3851">
      <c r="A3851" s="132"/>
      <c r="B3851" s="41"/>
      <c r="C3851" s="9"/>
      <c r="D3851" s="133"/>
      <c r="E3851" s="133"/>
      <c r="F3851" s="24"/>
      <c r="G3851" s="24"/>
      <c r="I3851" s="13" t="str">
        <f>IFERROR(__xludf.DUMMYFUNCTION("if(isblank(A3851),,split(A3851,""-""))"),"")</f>
        <v/>
      </c>
      <c r="K3851" s="13" t="str">
        <f>IFERROR(__xludf.DUMMYFUNCTION("if(isblank(B3851),,split(B3851,""-""))"),"")</f>
        <v/>
      </c>
    </row>
    <row r="3852">
      <c r="A3852" s="132"/>
      <c r="B3852" s="41"/>
      <c r="C3852" s="9"/>
      <c r="D3852" s="133"/>
      <c r="E3852" s="133"/>
      <c r="F3852" s="24"/>
      <c r="G3852" s="24"/>
      <c r="I3852" s="13" t="str">
        <f>IFERROR(__xludf.DUMMYFUNCTION("if(isblank(A3852),,split(A3852,""-""))"),"")</f>
        <v/>
      </c>
      <c r="K3852" s="13" t="str">
        <f>IFERROR(__xludf.DUMMYFUNCTION("if(isblank(B3852),,split(B3852,""-""))"),"")</f>
        <v/>
      </c>
    </row>
    <row r="3853">
      <c r="A3853" s="132"/>
      <c r="B3853" s="41"/>
      <c r="C3853" s="9"/>
      <c r="D3853" s="133"/>
      <c r="E3853" s="133"/>
      <c r="F3853" s="24"/>
      <c r="G3853" s="24"/>
      <c r="I3853" s="13" t="str">
        <f>IFERROR(__xludf.DUMMYFUNCTION("if(isblank(A3853),,split(A3853,""-""))"),"")</f>
        <v/>
      </c>
      <c r="K3853" s="13" t="str">
        <f>IFERROR(__xludf.DUMMYFUNCTION("if(isblank(B3853),,split(B3853,""-""))"),"")</f>
        <v/>
      </c>
    </row>
    <row r="3854">
      <c r="A3854" s="132"/>
      <c r="B3854" s="41"/>
      <c r="C3854" s="9"/>
      <c r="D3854" s="133"/>
      <c r="E3854" s="133"/>
      <c r="F3854" s="24"/>
      <c r="G3854" s="24"/>
      <c r="I3854" s="13" t="str">
        <f>IFERROR(__xludf.DUMMYFUNCTION("if(isblank(A3854),,split(A3854,""-""))"),"")</f>
        <v/>
      </c>
      <c r="K3854" s="13" t="str">
        <f>IFERROR(__xludf.DUMMYFUNCTION("if(isblank(B3854),,split(B3854,""-""))"),"")</f>
        <v/>
      </c>
    </row>
    <row r="3855">
      <c r="A3855" s="132"/>
      <c r="B3855" s="41"/>
      <c r="C3855" s="9"/>
      <c r="D3855" s="133"/>
      <c r="E3855" s="133"/>
      <c r="F3855" s="24"/>
      <c r="G3855" s="24"/>
      <c r="I3855" s="13" t="str">
        <f>IFERROR(__xludf.DUMMYFUNCTION("if(isblank(A3855),,split(A3855,""-""))"),"")</f>
        <v/>
      </c>
      <c r="K3855" s="13" t="str">
        <f>IFERROR(__xludf.DUMMYFUNCTION("if(isblank(B3855),,split(B3855,""-""))"),"")</f>
        <v/>
      </c>
    </row>
    <row r="3856">
      <c r="A3856" s="132"/>
      <c r="B3856" s="41"/>
      <c r="C3856" s="9"/>
      <c r="D3856" s="133"/>
      <c r="E3856" s="133"/>
      <c r="F3856" s="24"/>
      <c r="G3856" s="24"/>
      <c r="I3856" s="13" t="str">
        <f>IFERROR(__xludf.DUMMYFUNCTION("if(isblank(A3856),,split(A3856,""-""))"),"")</f>
        <v/>
      </c>
      <c r="K3856" s="13" t="str">
        <f>IFERROR(__xludf.DUMMYFUNCTION("if(isblank(B3856),,split(B3856,""-""))"),"")</f>
        <v/>
      </c>
    </row>
    <row r="3857">
      <c r="A3857" s="132"/>
      <c r="B3857" s="41"/>
      <c r="C3857" s="9"/>
      <c r="D3857" s="133"/>
      <c r="E3857" s="133"/>
      <c r="F3857" s="24"/>
      <c r="G3857" s="24"/>
      <c r="I3857" s="13" t="str">
        <f>IFERROR(__xludf.DUMMYFUNCTION("if(isblank(A3857),,split(A3857,""-""))"),"")</f>
        <v/>
      </c>
      <c r="K3857" s="13" t="str">
        <f>IFERROR(__xludf.DUMMYFUNCTION("if(isblank(B3857),,split(B3857,""-""))"),"")</f>
        <v/>
      </c>
    </row>
    <row r="3858">
      <c r="A3858" s="132"/>
      <c r="B3858" s="41"/>
      <c r="C3858" s="9"/>
      <c r="D3858" s="133"/>
      <c r="E3858" s="133"/>
      <c r="F3858" s="24"/>
      <c r="G3858" s="24"/>
      <c r="I3858" s="13" t="str">
        <f>IFERROR(__xludf.DUMMYFUNCTION("if(isblank(A3858),,split(A3858,""-""))"),"")</f>
        <v/>
      </c>
      <c r="K3858" s="13" t="str">
        <f>IFERROR(__xludf.DUMMYFUNCTION("if(isblank(B3858),,split(B3858,""-""))"),"")</f>
        <v/>
      </c>
    </row>
    <row r="3859">
      <c r="A3859" s="132"/>
      <c r="B3859" s="41"/>
      <c r="C3859" s="9"/>
      <c r="D3859" s="133"/>
      <c r="E3859" s="133"/>
      <c r="F3859" s="24"/>
      <c r="G3859" s="24"/>
      <c r="I3859" s="13" t="str">
        <f>IFERROR(__xludf.DUMMYFUNCTION("if(isblank(A3859),,split(A3859,""-""))"),"")</f>
        <v/>
      </c>
      <c r="K3859" s="13" t="str">
        <f>IFERROR(__xludf.DUMMYFUNCTION("if(isblank(B3859),,split(B3859,""-""))"),"")</f>
        <v/>
      </c>
    </row>
    <row r="3860">
      <c r="A3860" s="132"/>
      <c r="B3860" s="41"/>
      <c r="C3860" s="9"/>
      <c r="D3860" s="133"/>
      <c r="E3860" s="133"/>
      <c r="F3860" s="24"/>
      <c r="G3860" s="24"/>
      <c r="I3860" s="13" t="str">
        <f>IFERROR(__xludf.DUMMYFUNCTION("if(isblank(A3860),,split(A3860,""-""))"),"")</f>
        <v/>
      </c>
      <c r="K3860" s="13" t="str">
        <f>IFERROR(__xludf.DUMMYFUNCTION("if(isblank(B3860),,split(B3860,""-""))"),"")</f>
        <v/>
      </c>
    </row>
    <row r="3861">
      <c r="A3861" s="132"/>
      <c r="B3861" s="41"/>
      <c r="C3861" s="9"/>
      <c r="D3861" s="133"/>
      <c r="E3861" s="133"/>
      <c r="F3861" s="24"/>
      <c r="G3861" s="24"/>
      <c r="I3861" s="13" t="str">
        <f>IFERROR(__xludf.DUMMYFUNCTION("if(isblank(A3861),,split(A3861,""-""))"),"")</f>
        <v/>
      </c>
      <c r="K3861" s="13" t="str">
        <f>IFERROR(__xludf.DUMMYFUNCTION("if(isblank(B3861),,split(B3861,""-""))"),"")</f>
        <v/>
      </c>
    </row>
    <row r="3862">
      <c r="A3862" s="132"/>
      <c r="B3862" s="41"/>
      <c r="C3862" s="9"/>
      <c r="D3862" s="133"/>
      <c r="E3862" s="133"/>
      <c r="F3862" s="24"/>
      <c r="G3862" s="24"/>
      <c r="I3862" s="13" t="str">
        <f>IFERROR(__xludf.DUMMYFUNCTION("if(isblank(A3862),,split(A3862,""-""))"),"")</f>
        <v/>
      </c>
      <c r="K3862" s="13" t="str">
        <f>IFERROR(__xludf.DUMMYFUNCTION("if(isblank(B3862),,split(B3862,""-""))"),"")</f>
        <v/>
      </c>
    </row>
    <row r="3863">
      <c r="A3863" s="132"/>
      <c r="B3863" s="41"/>
      <c r="C3863" s="9"/>
      <c r="D3863" s="133"/>
      <c r="E3863" s="133"/>
      <c r="F3863" s="24"/>
      <c r="G3863" s="24"/>
      <c r="I3863" s="13" t="str">
        <f>IFERROR(__xludf.DUMMYFUNCTION("if(isblank(A3863),,split(A3863,""-""))"),"")</f>
        <v/>
      </c>
      <c r="K3863" s="13" t="str">
        <f>IFERROR(__xludf.DUMMYFUNCTION("if(isblank(B3863),,split(B3863,""-""))"),"")</f>
        <v/>
      </c>
    </row>
    <row r="3864">
      <c r="A3864" s="132"/>
      <c r="B3864" s="41"/>
      <c r="C3864" s="9"/>
      <c r="D3864" s="133"/>
      <c r="E3864" s="133"/>
      <c r="F3864" s="24"/>
      <c r="G3864" s="24"/>
      <c r="I3864" s="13" t="str">
        <f>IFERROR(__xludf.DUMMYFUNCTION("if(isblank(A3864),,split(A3864,""-""))"),"")</f>
        <v/>
      </c>
      <c r="K3864" s="13" t="str">
        <f>IFERROR(__xludf.DUMMYFUNCTION("if(isblank(B3864),,split(B3864,""-""))"),"")</f>
        <v/>
      </c>
    </row>
    <row r="3865">
      <c r="A3865" s="132"/>
      <c r="B3865" s="41"/>
      <c r="C3865" s="9"/>
      <c r="D3865" s="133"/>
      <c r="E3865" s="133"/>
      <c r="F3865" s="24"/>
      <c r="G3865" s="24"/>
      <c r="I3865" s="13" t="str">
        <f>IFERROR(__xludf.DUMMYFUNCTION("if(isblank(A3865),,split(A3865,""-""))"),"")</f>
        <v/>
      </c>
      <c r="K3865" s="13" t="str">
        <f>IFERROR(__xludf.DUMMYFUNCTION("if(isblank(B3865),,split(B3865,""-""))"),"")</f>
        <v/>
      </c>
    </row>
    <row r="3866">
      <c r="A3866" s="132"/>
      <c r="B3866" s="41"/>
      <c r="C3866" s="9"/>
      <c r="D3866" s="133"/>
      <c r="E3866" s="133"/>
      <c r="F3866" s="24"/>
      <c r="G3866" s="24"/>
      <c r="I3866" s="13" t="str">
        <f>IFERROR(__xludf.DUMMYFUNCTION("if(isblank(A3866),,split(A3866,""-""))"),"")</f>
        <v/>
      </c>
      <c r="K3866" s="13" t="str">
        <f>IFERROR(__xludf.DUMMYFUNCTION("if(isblank(B3866),,split(B3866,""-""))"),"")</f>
        <v/>
      </c>
    </row>
    <row r="3867">
      <c r="A3867" s="132"/>
      <c r="B3867" s="41"/>
      <c r="C3867" s="9"/>
      <c r="D3867" s="133"/>
      <c r="E3867" s="133"/>
      <c r="F3867" s="24"/>
      <c r="G3867" s="24"/>
      <c r="I3867" s="13" t="str">
        <f>IFERROR(__xludf.DUMMYFUNCTION("if(isblank(A3867),,split(A3867,""-""))"),"")</f>
        <v/>
      </c>
      <c r="K3867" s="13" t="str">
        <f>IFERROR(__xludf.DUMMYFUNCTION("if(isblank(B3867),,split(B3867,""-""))"),"")</f>
        <v/>
      </c>
    </row>
    <row r="3868">
      <c r="A3868" s="132"/>
      <c r="B3868" s="41"/>
      <c r="C3868" s="9"/>
      <c r="D3868" s="133"/>
      <c r="E3868" s="133"/>
      <c r="F3868" s="24"/>
      <c r="G3868" s="24"/>
      <c r="I3868" s="13" t="str">
        <f>IFERROR(__xludf.DUMMYFUNCTION("if(isblank(A3868),,split(A3868,""-""))"),"")</f>
        <v/>
      </c>
      <c r="K3868" s="13" t="str">
        <f>IFERROR(__xludf.DUMMYFUNCTION("if(isblank(B3868),,split(B3868,""-""))"),"")</f>
        <v/>
      </c>
    </row>
    <row r="3869">
      <c r="A3869" s="132"/>
      <c r="B3869" s="41"/>
      <c r="C3869" s="9"/>
      <c r="D3869" s="133"/>
      <c r="E3869" s="133"/>
      <c r="F3869" s="24"/>
      <c r="G3869" s="24"/>
      <c r="I3869" s="13" t="str">
        <f>IFERROR(__xludf.DUMMYFUNCTION("if(isblank(A3869),,split(A3869,""-""))"),"")</f>
        <v/>
      </c>
      <c r="K3869" s="13" t="str">
        <f>IFERROR(__xludf.DUMMYFUNCTION("if(isblank(B3869),,split(B3869,""-""))"),"")</f>
        <v/>
      </c>
    </row>
    <row r="3870">
      <c r="A3870" s="132"/>
      <c r="B3870" s="41"/>
      <c r="C3870" s="9"/>
      <c r="D3870" s="133"/>
      <c r="E3870" s="133"/>
      <c r="F3870" s="24"/>
      <c r="G3870" s="24"/>
      <c r="I3870" s="13" t="str">
        <f>IFERROR(__xludf.DUMMYFUNCTION("if(isblank(A3870),,split(A3870,""-""))"),"")</f>
        <v/>
      </c>
      <c r="K3870" s="13" t="str">
        <f>IFERROR(__xludf.DUMMYFUNCTION("if(isblank(B3870),,split(B3870,""-""))"),"")</f>
        <v/>
      </c>
    </row>
    <row r="3871">
      <c r="A3871" s="132"/>
      <c r="B3871" s="41"/>
      <c r="C3871" s="9"/>
      <c r="D3871" s="133"/>
      <c r="E3871" s="133"/>
      <c r="F3871" s="24"/>
      <c r="G3871" s="24"/>
      <c r="I3871" s="13" t="str">
        <f>IFERROR(__xludf.DUMMYFUNCTION("if(isblank(A3871),,split(A3871,""-""))"),"")</f>
        <v/>
      </c>
      <c r="K3871" s="13" t="str">
        <f>IFERROR(__xludf.DUMMYFUNCTION("if(isblank(B3871),,split(B3871,""-""))"),"")</f>
        <v/>
      </c>
    </row>
    <row r="3872">
      <c r="A3872" s="132"/>
      <c r="B3872" s="41"/>
      <c r="C3872" s="9"/>
      <c r="D3872" s="133"/>
      <c r="E3872" s="133"/>
      <c r="F3872" s="24"/>
      <c r="G3872" s="24"/>
      <c r="I3872" s="13" t="str">
        <f>IFERROR(__xludf.DUMMYFUNCTION("if(isblank(A3872),,split(A3872,""-""))"),"")</f>
        <v/>
      </c>
      <c r="K3872" s="13" t="str">
        <f>IFERROR(__xludf.DUMMYFUNCTION("if(isblank(B3872),,split(B3872,""-""))"),"")</f>
        <v/>
      </c>
    </row>
    <row r="3873">
      <c r="A3873" s="132"/>
      <c r="B3873" s="41"/>
      <c r="C3873" s="9"/>
      <c r="D3873" s="133"/>
      <c r="E3873" s="133"/>
      <c r="F3873" s="24"/>
      <c r="G3873" s="24"/>
      <c r="I3873" s="13" t="str">
        <f>IFERROR(__xludf.DUMMYFUNCTION("if(isblank(A3873),,split(A3873,""-""))"),"")</f>
        <v/>
      </c>
      <c r="K3873" s="13" t="str">
        <f>IFERROR(__xludf.DUMMYFUNCTION("if(isblank(B3873),,split(B3873,""-""))"),"")</f>
        <v/>
      </c>
    </row>
    <row r="3874">
      <c r="A3874" s="132"/>
      <c r="B3874" s="41"/>
      <c r="C3874" s="9"/>
      <c r="D3874" s="133"/>
      <c r="E3874" s="133"/>
      <c r="F3874" s="24"/>
      <c r="G3874" s="24"/>
      <c r="I3874" s="13" t="str">
        <f>IFERROR(__xludf.DUMMYFUNCTION("if(isblank(A3874),,split(A3874,""-""))"),"")</f>
        <v/>
      </c>
      <c r="K3874" s="13" t="str">
        <f>IFERROR(__xludf.DUMMYFUNCTION("if(isblank(B3874),,split(B3874,""-""))"),"")</f>
        <v/>
      </c>
    </row>
    <row r="3875">
      <c r="A3875" s="132"/>
      <c r="B3875" s="41"/>
      <c r="C3875" s="9"/>
      <c r="D3875" s="133"/>
      <c r="E3875" s="133"/>
      <c r="F3875" s="24"/>
      <c r="G3875" s="24"/>
      <c r="I3875" s="13" t="str">
        <f>IFERROR(__xludf.DUMMYFUNCTION("if(isblank(A3875),,split(A3875,""-""))"),"")</f>
        <v/>
      </c>
      <c r="K3875" s="13" t="str">
        <f>IFERROR(__xludf.DUMMYFUNCTION("if(isblank(B3875),,split(B3875,""-""))"),"")</f>
        <v/>
      </c>
    </row>
    <row r="3876">
      <c r="A3876" s="132"/>
      <c r="B3876" s="41"/>
      <c r="C3876" s="9"/>
      <c r="D3876" s="133"/>
      <c r="E3876" s="133"/>
      <c r="F3876" s="24"/>
      <c r="G3876" s="24"/>
      <c r="I3876" s="13" t="str">
        <f>IFERROR(__xludf.DUMMYFUNCTION("if(isblank(A3876),,split(A3876,""-""))"),"")</f>
        <v/>
      </c>
      <c r="K3876" s="13" t="str">
        <f>IFERROR(__xludf.DUMMYFUNCTION("if(isblank(B3876),,split(B3876,""-""))"),"")</f>
        <v/>
      </c>
    </row>
    <row r="3877">
      <c r="A3877" s="132"/>
      <c r="B3877" s="41"/>
      <c r="C3877" s="9"/>
      <c r="D3877" s="133"/>
      <c r="E3877" s="133"/>
      <c r="F3877" s="24"/>
      <c r="G3877" s="24"/>
      <c r="I3877" s="13" t="str">
        <f>IFERROR(__xludf.DUMMYFUNCTION("if(isblank(A3877),,split(A3877,""-""))"),"")</f>
        <v/>
      </c>
      <c r="K3877" s="13" t="str">
        <f>IFERROR(__xludf.DUMMYFUNCTION("if(isblank(B3877),,split(B3877,""-""))"),"")</f>
        <v/>
      </c>
    </row>
    <row r="3878">
      <c r="A3878" s="132"/>
      <c r="B3878" s="41"/>
      <c r="C3878" s="9"/>
      <c r="D3878" s="133"/>
      <c r="E3878" s="133"/>
      <c r="F3878" s="24"/>
      <c r="G3878" s="24"/>
      <c r="I3878" s="13" t="str">
        <f>IFERROR(__xludf.DUMMYFUNCTION("if(isblank(A3878),,split(A3878,""-""))"),"")</f>
        <v/>
      </c>
      <c r="K3878" s="13" t="str">
        <f>IFERROR(__xludf.DUMMYFUNCTION("if(isblank(B3878),,split(B3878,""-""))"),"")</f>
        <v/>
      </c>
    </row>
    <row r="3879">
      <c r="A3879" s="132"/>
      <c r="B3879" s="41"/>
      <c r="C3879" s="9"/>
      <c r="D3879" s="133"/>
      <c r="E3879" s="133"/>
      <c r="F3879" s="24"/>
      <c r="G3879" s="24"/>
      <c r="I3879" s="13" t="str">
        <f>IFERROR(__xludf.DUMMYFUNCTION("if(isblank(A3879),,split(A3879,""-""))"),"")</f>
        <v/>
      </c>
      <c r="K3879" s="13" t="str">
        <f>IFERROR(__xludf.DUMMYFUNCTION("if(isblank(B3879),,split(B3879,""-""))"),"")</f>
        <v/>
      </c>
    </row>
    <row r="3880">
      <c r="A3880" s="132"/>
      <c r="B3880" s="41"/>
      <c r="C3880" s="9"/>
      <c r="D3880" s="133"/>
      <c r="E3880" s="133"/>
      <c r="F3880" s="24"/>
      <c r="G3880" s="24"/>
      <c r="I3880" s="13" t="str">
        <f>IFERROR(__xludf.DUMMYFUNCTION("if(isblank(A3880),,split(A3880,""-""))"),"")</f>
        <v/>
      </c>
      <c r="K3880" s="13" t="str">
        <f>IFERROR(__xludf.DUMMYFUNCTION("if(isblank(B3880),,split(B3880,""-""))"),"")</f>
        <v/>
      </c>
    </row>
    <row r="3881">
      <c r="A3881" s="132"/>
      <c r="B3881" s="41"/>
      <c r="C3881" s="9"/>
      <c r="D3881" s="133"/>
      <c r="E3881" s="133"/>
      <c r="F3881" s="24"/>
      <c r="G3881" s="24"/>
      <c r="I3881" s="13" t="str">
        <f>IFERROR(__xludf.DUMMYFUNCTION("if(isblank(A3881),,split(A3881,""-""))"),"")</f>
        <v/>
      </c>
      <c r="K3881" s="13" t="str">
        <f>IFERROR(__xludf.DUMMYFUNCTION("if(isblank(B3881),,split(B3881,""-""))"),"")</f>
        <v/>
      </c>
    </row>
    <row r="3882">
      <c r="A3882" s="132"/>
      <c r="B3882" s="41"/>
      <c r="C3882" s="9"/>
      <c r="D3882" s="133"/>
      <c r="E3882" s="133"/>
      <c r="F3882" s="24"/>
      <c r="G3882" s="24"/>
      <c r="I3882" s="13" t="str">
        <f>IFERROR(__xludf.DUMMYFUNCTION("if(isblank(A3882),,split(A3882,""-""))"),"")</f>
        <v/>
      </c>
      <c r="K3882" s="13" t="str">
        <f>IFERROR(__xludf.DUMMYFUNCTION("if(isblank(B3882),,split(B3882,""-""))"),"")</f>
        <v/>
      </c>
    </row>
    <row r="3883">
      <c r="A3883" s="132"/>
      <c r="B3883" s="41"/>
      <c r="C3883" s="9"/>
      <c r="D3883" s="133"/>
      <c r="E3883" s="133"/>
      <c r="F3883" s="24"/>
      <c r="G3883" s="24"/>
      <c r="I3883" s="13" t="str">
        <f>IFERROR(__xludf.DUMMYFUNCTION("if(isblank(A3883),,split(A3883,""-""))"),"")</f>
        <v/>
      </c>
      <c r="K3883" s="13" t="str">
        <f>IFERROR(__xludf.DUMMYFUNCTION("if(isblank(B3883),,split(B3883,""-""))"),"")</f>
        <v/>
      </c>
    </row>
    <row r="3884">
      <c r="A3884" s="132"/>
      <c r="B3884" s="41"/>
      <c r="C3884" s="9"/>
      <c r="D3884" s="133"/>
      <c r="E3884" s="133"/>
      <c r="F3884" s="24"/>
      <c r="G3884" s="24"/>
      <c r="I3884" s="13" t="str">
        <f>IFERROR(__xludf.DUMMYFUNCTION("if(isblank(A3884),,split(A3884,""-""))"),"")</f>
        <v/>
      </c>
      <c r="K3884" s="13" t="str">
        <f>IFERROR(__xludf.DUMMYFUNCTION("if(isblank(B3884),,split(B3884,""-""))"),"")</f>
        <v/>
      </c>
    </row>
    <row r="3885">
      <c r="A3885" s="132"/>
      <c r="B3885" s="41"/>
      <c r="C3885" s="9"/>
      <c r="D3885" s="133"/>
      <c r="E3885" s="133"/>
      <c r="F3885" s="24"/>
      <c r="G3885" s="24"/>
      <c r="I3885" s="13" t="str">
        <f>IFERROR(__xludf.DUMMYFUNCTION("if(isblank(A3885),,split(A3885,""-""))"),"")</f>
        <v/>
      </c>
      <c r="K3885" s="13" t="str">
        <f>IFERROR(__xludf.DUMMYFUNCTION("if(isblank(B3885),,split(B3885,""-""))"),"")</f>
        <v/>
      </c>
    </row>
    <row r="3886">
      <c r="A3886" s="132"/>
      <c r="B3886" s="41"/>
      <c r="C3886" s="9"/>
      <c r="D3886" s="133"/>
      <c r="E3886" s="133"/>
      <c r="F3886" s="24"/>
      <c r="G3886" s="24"/>
      <c r="I3886" s="13" t="str">
        <f>IFERROR(__xludf.DUMMYFUNCTION("if(isblank(A3886),,split(A3886,""-""))"),"")</f>
        <v/>
      </c>
      <c r="K3886" s="13" t="str">
        <f>IFERROR(__xludf.DUMMYFUNCTION("if(isblank(B3886),,split(B3886,""-""))"),"")</f>
        <v/>
      </c>
    </row>
    <row r="3887">
      <c r="A3887" s="132"/>
      <c r="B3887" s="41"/>
      <c r="C3887" s="9"/>
      <c r="D3887" s="133"/>
      <c r="E3887" s="133"/>
      <c r="F3887" s="24"/>
      <c r="G3887" s="24"/>
      <c r="I3887" s="13" t="str">
        <f>IFERROR(__xludf.DUMMYFUNCTION("if(isblank(A3887),,split(A3887,""-""))"),"")</f>
        <v/>
      </c>
      <c r="K3887" s="13" t="str">
        <f>IFERROR(__xludf.DUMMYFUNCTION("if(isblank(B3887),,split(B3887,""-""))"),"")</f>
        <v/>
      </c>
    </row>
    <row r="3888">
      <c r="A3888" s="132"/>
      <c r="B3888" s="41"/>
      <c r="C3888" s="9"/>
      <c r="D3888" s="133"/>
      <c r="E3888" s="133"/>
      <c r="F3888" s="24"/>
      <c r="G3888" s="24"/>
      <c r="I3888" s="13" t="str">
        <f>IFERROR(__xludf.DUMMYFUNCTION("if(isblank(A3888),,split(A3888,""-""))"),"")</f>
        <v/>
      </c>
      <c r="K3888" s="13" t="str">
        <f>IFERROR(__xludf.DUMMYFUNCTION("if(isblank(B3888),,split(B3888,""-""))"),"")</f>
        <v/>
      </c>
    </row>
    <row r="3889">
      <c r="A3889" s="132"/>
      <c r="B3889" s="41"/>
      <c r="C3889" s="9"/>
      <c r="D3889" s="133"/>
      <c r="E3889" s="133"/>
      <c r="F3889" s="24"/>
      <c r="G3889" s="24"/>
      <c r="I3889" s="13" t="str">
        <f>IFERROR(__xludf.DUMMYFUNCTION("if(isblank(A3889),,split(A3889,""-""))"),"")</f>
        <v/>
      </c>
      <c r="K3889" s="13" t="str">
        <f>IFERROR(__xludf.DUMMYFUNCTION("if(isblank(B3889),,split(B3889,""-""))"),"")</f>
        <v/>
      </c>
    </row>
    <row r="3890">
      <c r="A3890" s="132"/>
      <c r="B3890" s="41"/>
      <c r="C3890" s="9"/>
      <c r="D3890" s="133"/>
      <c r="E3890" s="133"/>
      <c r="F3890" s="24"/>
      <c r="G3890" s="24"/>
      <c r="I3890" s="13" t="str">
        <f>IFERROR(__xludf.DUMMYFUNCTION("if(isblank(A3890),,split(A3890,""-""))"),"")</f>
        <v/>
      </c>
      <c r="K3890" s="13" t="str">
        <f>IFERROR(__xludf.DUMMYFUNCTION("if(isblank(B3890),,split(B3890,""-""))"),"")</f>
        <v/>
      </c>
    </row>
    <row r="3891">
      <c r="A3891" s="132"/>
      <c r="B3891" s="41"/>
      <c r="C3891" s="9"/>
      <c r="D3891" s="133"/>
      <c r="E3891" s="133"/>
      <c r="F3891" s="24"/>
      <c r="G3891" s="24"/>
      <c r="I3891" s="13" t="str">
        <f>IFERROR(__xludf.DUMMYFUNCTION("if(isblank(A3891),,split(A3891,""-""))"),"")</f>
        <v/>
      </c>
      <c r="K3891" s="13" t="str">
        <f>IFERROR(__xludf.DUMMYFUNCTION("if(isblank(B3891),,split(B3891,""-""))"),"")</f>
        <v/>
      </c>
    </row>
  </sheetData>
  <customSheetViews>
    <customSheetView guid="{36B49CBD-0EA8-4B5C-A3DB-9044395D427E}" filter="1" showAutoFilter="1">
      <autoFilter ref="$F$1114:$F$1118"/>
    </customSheetView>
  </customSheetViews>
  <conditionalFormatting sqref="A1:C100 D1:F3891 G1:G100 A106:A107 B106:C3891 G106:G3891 A110:A3891">
    <cfRule type="cellIs" dxfId="0" priority="1" operator="equal">
      <formula>"NA"</formula>
    </cfRule>
  </conditionalFormatting>
  <conditionalFormatting sqref="C2:C100 D2:F3891 G2:G100 C106:C3891 G106:G3891 B120">
    <cfRule type="containsBlanks" dxfId="1" priority="2">
      <formula>LEN(TRIM(C2))=0</formula>
    </cfRule>
  </conditionalFormatting>
  <dataValidations>
    <dataValidation type="custom" allowBlank="1" showDropDown="1" sqref="C2:C55 C57:C195 C197:C200 C202:C209 C212:C245 C247:C731 C733:C744 C748:C751 C754 C756 C759:C760 C763 C774:C775 C777:C779 C781:C783 C785 C789:C790 C793 C795 C798:C799 C801 C805:C812 C815:C946 C947:D949 F947:F949 C950:C1016 C1018:C1021 C1027:C1029 C1031:C1037 C1047:C1052 C1054 C1056:C1067 C1069:C1072 C1074 C1077:C1081 C1084:C1089 C1092:C1140 C1142:C1146 C1148 C1153:C1155 C1157 C1159:C3891">
      <formula1>OR(NOT(ISERROR(DATEVALUE(C2))), AND(ISNUMBER(C2), LEFT(CELL("format", C2))="D"))</formula1>
    </dataValidation>
    <dataValidation type="list" allowBlank="1" sqref="E2:E3891">
      <formula1>"北海道,青森県,岩手県,宮城県,秋田県,山形県,福島県,茨城県,栃木県,群馬県,埼玉県,千葉県,東京都,神奈川県,新潟県,富山県,石川県,福井県,山梨県,長野県,岐阜県,静岡県,愛知県,三重県,滋賀県,京都府,大阪府,兵庫県,奈良県,和歌山県,鳥取県,島根県,岡山県,広島県,山口県,徳島県,香川県,愛媛県,高知県,福岡県,佐賀県,長崎県,熊本県,大分県,宮崎県,鹿児島県,沖縄県"</formula1>
    </dataValidation>
  </dataValidations>
  <hyperlinks>
    <hyperlink r:id="rId2" ref="G2"/>
    <hyperlink r:id="rId3" ref="G3"/>
    <hyperlink r:id="rId4" ref="G4"/>
    <hyperlink r:id="rId5" ref="G5"/>
    <hyperlink r:id="rId6" ref="G10"/>
    <hyperlink r:id="rId7" ref="G11"/>
    <hyperlink r:id="rId8" ref="G12"/>
    <hyperlink r:id="rId9" ref="G13"/>
    <hyperlink r:id="rId10" ref="G14"/>
    <hyperlink r:id="rId11" ref="G15"/>
    <hyperlink r:id="rId12" ref="G16"/>
    <hyperlink r:id="rId13" ref="G17"/>
    <hyperlink r:id="rId14" ref="G18"/>
    <hyperlink r:id="rId15" ref="G19"/>
    <hyperlink r:id="rId16" ref="G20"/>
    <hyperlink r:id="rId17" ref="G21"/>
    <hyperlink r:id="rId18" ref="G22"/>
    <hyperlink r:id="rId19" ref="G23"/>
    <hyperlink r:id="rId20" ref="G24"/>
    <hyperlink r:id="rId21" location="2/20" ref="G25"/>
    <hyperlink r:id="rId22" location="2/20" ref="G26"/>
    <hyperlink r:id="rId23" location="2/20" ref="G27"/>
    <hyperlink r:id="rId24" location="2/20" ref="G28"/>
    <hyperlink r:id="rId25" location="2/20" ref="G29"/>
    <hyperlink r:id="rId26" location="2/20" ref="G30"/>
    <hyperlink r:id="rId27" location="2/20" ref="G31"/>
    <hyperlink r:id="rId28" location="2/20" ref="G32"/>
    <hyperlink r:id="rId29" location="2/20" ref="G33"/>
    <hyperlink r:id="rId30" location="2/20" ref="G34"/>
    <hyperlink r:id="rId31" location="2/20" ref="G35"/>
    <hyperlink r:id="rId32" location="2/20" ref="G36"/>
    <hyperlink r:id="rId33" ref="G37"/>
    <hyperlink r:id="rId34" location="no7" ref="G38"/>
    <hyperlink r:id="rId35" ref="G39"/>
    <hyperlink r:id="rId36" ref="G40"/>
    <hyperlink r:id="rId37" ref="G41"/>
    <hyperlink r:id="rId38" ref="G42"/>
    <hyperlink r:id="rId39" ref="G43"/>
    <hyperlink r:id="rId40" ref="G44"/>
    <hyperlink r:id="rId41" ref="G45"/>
    <hyperlink r:id="rId42" ref="G46"/>
    <hyperlink r:id="rId43" ref="G47"/>
    <hyperlink r:id="rId44" ref="G48"/>
    <hyperlink r:id="rId45" ref="G49"/>
    <hyperlink r:id="rId46" ref="G50"/>
    <hyperlink r:id="rId47" ref="G51"/>
    <hyperlink r:id="rId48" ref="G52"/>
    <hyperlink r:id="rId49" ref="G53"/>
    <hyperlink r:id="rId50" ref="G54"/>
    <hyperlink r:id="rId51" ref="G55"/>
    <hyperlink r:id="rId52" ref="G56"/>
    <hyperlink r:id="rId53" ref="G57"/>
    <hyperlink r:id="rId54" ref="G58"/>
    <hyperlink r:id="rId55" ref="G59"/>
    <hyperlink r:id="rId56" ref="G60"/>
    <hyperlink r:id="rId57" ref="G61"/>
    <hyperlink r:id="rId58" ref="G62"/>
    <hyperlink r:id="rId59" ref="G63"/>
    <hyperlink r:id="rId60" ref="G64"/>
    <hyperlink r:id="rId61" ref="G65"/>
    <hyperlink r:id="rId62" ref="G66"/>
    <hyperlink r:id="rId63" ref="G67"/>
    <hyperlink r:id="rId64" ref="G68"/>
    <hyperlink r:id="rId65" ref="G69"/>
    <hyperlink r:id="rId66" ref="G70"/>
    <hyperlink r:id="rId67" ref="G71"/>
    <hyperlink r:id="rId68" ref="G72"/>
    <hyperlink r:id="rId69" ref="G73"/>
    <hyperlink r:id="rId70" ref="G74"/>
    <hyperlink r:id="rId71" ref="G75"/>
    <hyperlink r:id="rId72" ref="G76"/>
    <hyperlink r:id="rId73" ref="G77"/>
    <hyperlink r:id="rId74" ref="G78"/>
    <hyperlink r:id="rId75" ref="G79"/>
    <hyperlink r:id="rId76" ref="G80"/>
    <hyperlink r:id="rId77" ref="G82"/>
    <hyperlink r:id="rId78" ref="G83"/>
    <hyperlink r:id="rId79" ref="G84"/>
    <hyperlink r:id="rId80" ref="G85"/>
    <hyperlink r:id="rId81" ref="G86"/>
    <hyperlink r:id="rId82" ref="G87"/>
    <hyperlink r:id="rId83" ref="G88"/>
    <hyperlink r:id="rId84" ref="G89"/>
    <hyperlink r:id="rId85" ref="G90"/>
    <hyperlink r:id="rId86" ref="G91"/>
    <hyperlink r:id="rId87" ref="G92"/>
    <hyperlink r:id="rId88" ref="G93"/>
    <hyperlink r:id="rId89" ref="G94"/>
    <hyperlink r:id="rId90" ref="G95"/>
    <hyperlink r:id="rId91" ref="G96"/>
    <hyperlink r:id="rId92" ref="G97"/>
    <hyperlink r:id="rId93" ref="G98"/>
    <hyperlink r:id="rId94" ref="G99"/>
    <hyperlink r:id="rId95" ref="G100"/>
    <hyperlink r:id="rId96" ref="G101"/>
    <hyperlink r:id="rId97" ref="G102"/>
    <hyperlink r:id="rId98" ref="G103"/>
    <hyperlink r:id="rId99" ref="G104"/>
    <hyperlink r:id="rId100" ref="G105"/>
    <hyperlink r:id="rId101" ref="G106"/>
    <hyperlink r:id="rId102" ref="G107"/>
    <hyperlink r:id="rId103" ref="G108"/>
    <hyperlink r:id="rId104" ref="G109"/>
    <hyperlink r:id="rId105" ref="G110"/>
    <hyperlink r:id="rId106" ref="G111"/>
    <hyperlink r:id="rId107" ref="G112"/>
    <hyperlink r:id="rId108" ref="G113"/>
    <hyperlink r:id="rId109" ref="G114"/>
    <hyperlink r:id="rId110" ref="G115"/>
    <hyperlink r:id="rId111" ref="G116"/>
    <hyperlink r:id="rId112" ref="G118"/>
    <hyperlink r:id="rId113" ref="G119"/>
    <hyperlink r:id="rId114" ref="G120"/>
    <hyperlink r:id="rId115" ref="G121"/>
    <hyperlink r:id="rId116" ref="G122"/>
    <hyperlink r:id="rId117" ref="G123"/>
    <hyperlink r:id="rId118" ref="G124"/>
    <hyperlink r:id="rId119" ref="G125"/>
    <hyperlink r:id="rId120" ref="G126"/>
    <hyperlink r:id="rId121" ref="G127"/>
    <hyperlink r:id="rId122" ref="G128"/>
    <hyperlink r:id="rId123" ref="G129"/>
    <hyperlink r:id="rId124" ref="G130"/>
    <hyperlink r:id="rId125" ref="G131"/>
    <hyperlink r:id="rId126" ref="G132"/>
    <hyperlink r:id="rId127" ref="G133"/>
    <hyperlink r:id="rId128" ref="G134"/>
    <hyperlink r:id="rId129" ref="G135"/>
    <hyperlink r:id="rId130" ref="G136"/>
    <hyperlink r:id="rId131" ref="G137"/>
    <hyperlink r:id="rId132" ref="G138"/>
    <hyperlink r:id="rId133" ref="G139"/>
    <hyperlink r:id="rId134" ref="G140"/>
    <hyperlink r:id="rId135" ref="G141"/>
    <hyperlink r:id="rId136" ref="G142"/>
    <hyperlink r:id="rId137" ref="G143"/>
    <hyperlink r:id="rId138" ref="G144"/>
    <hyperlink r:id="rId139" ref="G145"/>
    <hyperlink r:id="rId140" ref="G146"/>
    <hyperlink r:id="rId141" ref="G147"/>
    <hyperlink r:id="rId142" ref="G148"/>
    <hyperlink r:id="rId143" ref="G149"/>
    <hyperlink r:id="rId144" ref="G150"/>
    <hyperlink r:id="rId145" ref="G151"/>
    <hyperlink r:id="rId146" ref="G152"/>
    <hyperlink r:id="rId147" ref="G153"/>
    <hyperlink r:id="rId148" ref="G154"/>
    <hyperlink r:id="rId149" ref="G155"/>
    <hyperlink r:id="rId150" ref="G156"/>
    <hyperlink r:id="rId151" ref="G157"/>
    <hyperlink r:id="rId152" ref="G158"/>
    <hyperlink r:id="rId153" ref="G159"/>
    <hyperlink r:id="rId154" ref="G160"/>
    <hyperlink r:id="rId155" ref="G161"/>
    <hyperlink r:id="rId156" ref="G162"/>
    <hyperlink r:id="rId157" ref="G163"/>
    <hyperlink r:id="rId158" ref="G164"/>
    <hyperlink r:id="rId159" ref="G165"/>
    <hyperlink r:id="rId160" ref="G166"/>
    <hyperlink r:id="rId161" ref="G167"/>
    <hyperlink r:id="rId162" ref="G168"/>
    <hyperlink r:id="rId163" ref="G169"/>
    <hyperlink r:id="rId164" ref="G170"/>
    <hyperlink r:id="rId165" ref="G171"/>
    <hyperlink r:id="rId166" ref="G172"/>
    <hyperlink r:id="rId167" ref="G173"/>
    <hyperlink r:id="rId168" ref="G174"/>
    <hyperlink r:id="rId169" ref="G175"/>
    <hyperlink r:id="rId170" ref="G176"/>
    <hyperlink r:id="rId171" ref="G177"/>
    <hyperlink r:id="rId172" ref="G178"/>
    <hyperlink r:id="rId173" ref="G179"/>
    <hyperlink r:id="rId174" ref="G180"/>
    <hyperlink r:id="rId175" ref="G181"/>
    <hyperlink r:id="rId176" ref="G182"/>
    <hyperlink r:id="rId177" ref="G183"/>
    <hyperlink r:id="rId178" ref="G184"/>
    <hyperlink r:id="rId179" ref="G185"/>
    <hyperlink r:id="rId180" ref="G186"/>
    <hyperlink r:id="rId181" ref="G187"/>
    <hyperlink r:id="rId182" ref="G188"/>
    <hyperlink r:id="rId183" ref="G189"/>
    <hyperlink r:id="rId184" ref="G190"/>
    <hyperlink r:id="rId185" ref="G191"/>
    <hyperlink r:id="rId186" ref="G192"/>
    <hyperlink r:id="rId187" ref="G193"/>
    <hyperlink r:id="rId188" ref="G194"/>
    <hyperlink r:id="rId189" ref="G195"/>
    <hyperlink r:id="rId190" ref="G196"/>
    <hyperlink r:id="rId191" ref="G197"/>
    <hyperlink r:id="rId192" ref="G198"/>
    <hyperlink r:id="rId193" ref="G199"/>
    <hyperlink r:id="rId194" ref="G200"/>
    <hyperlink r:id="rId195" ref="G201"/>
    <hyperlink r:id="rId196" ref="G202"/>
    <hyperlink r:id="rId197" ref="G203"/>
    <hyperlink r:id="rId198" ref="G204"/>
    <hyperlink r:id="rId199" ref="G205"/>
    <hyperlink r:id="rId200" ref="G206"/>
    <hyperlink r:id="rId201" ref="G207"/>
    <hyperlink r:id="rId202" ref="G208"/>
    <hyperlink r:id="rId203" ref="G209"/>
    <hyperlink r:id="rId204" ref="G210"/>
    <hyperlink r:id="rId205" ref="G211"/>
    <hyperlink r:id="rId206" ref="G212"/>
    <hyperlink r:id="rId207" ref="G213"/>
    <hyperlink r:id="rId208" ref="G214"/>
    <hyperlink r:id="rId209" ref="G215"/>
    <hyperlink r:id="rId210" ref="G216"/>
    <hyperlink r:id="rId211" ref="G217"/>
    <hyperlink r:id="rId212" ref="G218"/>
    <hyperlink r:id="rId213" ref="G219"/>
    <hyperlink r:id="rId214" ref="G220"/>
    <hyperlink r:id="rId215" ref="G221"/>
    <hyperlink r:id="rId216" ref="G222"/>
    <hyperlink r:id="rId217" ref="G223"/>
    <hyperlink r:id="rId218" ref="G224"/>
    <hyperlink r:id="rId219" ref="G225"/>
    <hyperlink r:id="rId220" ref="G226"/>
    <hyperlink r:id="rId221" ref="G227"/>
    <hyperlink r:id="rId222" ref="G228"/>
    <hyperlink r:id="rId223" ref="G229"/>
    <hyperlink r:id="rId224" ref="G230"/>
    <hyperlink r:id="rId225" ref="G231"/>
    <hyperlink r:id="rId226" ref="G232"/>
    <hyperlink r:id="rId227" ref="G233"/>
    <hyperlink r:id="rId228" ref="G234"/>
    <hyperlink r:id="rId229" ref="G235"/>
    <hyperlink r:id="rId230" ref="G236"/>
    <hyperlink r:id="rId231" ref="G237"/>
    <hyperlink r:id="rId232" ref="G238"/>
    <hyperlink r:id="rId233" ref="G239"/>
    <hyperlink r:id="rId234" ref="G240"/>
    <hyperlink r:id="rId235" ref="G241"/>
    <hyperlink r:id="rId236" ref="G242"/>
    <hyperlink r:id="rId237" ref="G243"/>
    <hyperlink r:id="rId238" ref="G244"/>
    <hyperlink r:id="rId239" ref="G245"/>
    <hyperlink r:id="rId240" ref="G246"/>
    <hyperlink r:id="rId241" ref="G247"/>
    <hyperlink r:id="rId242" ref="G248"/>
    <hyperlink r:id="rId243" ref="G249"/>
    <hyperlink r:id="rId244" ref="G250"/>
    <hyperlink r:id="rId245" ref="G251"/>
    <hyperlink r:id="rId246" ref="G252"/>
    <hyperlink r:id="rId247" ref="G253"/>
    <hyperlink r:id="rId248" ref="G254"/>
    <hyperlink r:id="rId249" ref="G255"/>
    <hyperlink r:id="rId250" ref="G256"/>
    <hyperlink r:id="rId251" ref="G257"/>
    <hyperlink r:id="rId252" ref="G258"/>
    <hyperlink r:id="rId253" ref="G259"/>
    <hyperlink r:id="rId254" ref="G260"/>
    <hyperlink r:id="rId255" ref="G261"/>
    <hyperlink r:id="rId256" ref="G262"/>
    <hyperlink r:id="rId257" ref="G263"/>
    <hyperlink r:id="rId258" ref="G264"/>
    <hyperlink r:id="rId259" ref="G265"/>
    <hyperlink r:id="rId260" ref="G266"/>
    <hyperlink r:id="rId261" ref="G267"/>
    <hyperlink r:id="rId262" ref="G268"/>
    <hyperlink r:id="rId263" ref="G269"/>
    <hyperlink r:id="rId264" ref="G270"/>
    <hyperlink r:id="rId265" ref="G271"/>
    <hyperlink r:id="rId266" ref="G272"/>
    <hyperlink r:id="rId267" ref="G273"/>
    <hyperlink r:id="rId268" ref="G274"/>
    <hyperlink r:id="rId269" ref="G275"/>
    <hyperlink r:id="rId270" ref="G276"/>
    <hyperlink r:id="rId271" ref="G277"/>
    <hyperlink r:id="rId272" ref="G278"/>
    <hyperlink r:id="rId273" ref="G279"/>
    <hyperlink r:id="rId274" ref="G280"/>
    <hyperlink r:id="rId275" ref="G281"/>
    <hyperlink r:id="rId276" ref="G282"/>
    <hyperlink r:id="rId277" ref="G283"/>
    <hyperlink r:id="rId278" ref="G284"/>
    <hyperlink r:id="rId279" ref="G285"/>
    <hyperlink r:id="rId280" ref="G286"/>
    <hyperlink r:id="rId281" ref="G287"/>
    <hyperlink r:id="rId282" ref="G288"/>
    <hyperlink r:id="rId283" ref="G289"/>
    <hyperlink r:id="rId284" ref="G290"/>
    <hyperlink r:id="rId285" ref="G291"/>
    <hyperlink r:id="rId286" ref="G292"/>
    <hyperlink r:id="rId287" ref="G293"/>
    <hyperlink r:id="rId288" ref="G294"/>
    <hyperlink r:id="rId289" ref="G295"/>
    <hyperlink r:id="rId290" ref="G296"/>
    <hyperlink r:id="rId291" ref="G297"/>
    <hyperlink r:id="rId292" ref="G298"/>
    <hyperlink r:id="rId293" ref="G299"/>
    <hyperlink r:id="rId294" ref="G300"/>
    <hyperlink r:id="rId295" ref="G301"/>
    <hyperlink r:id="rId296" ref="G302"/>
    <hyperlink r:id="rId297" ref="G303"/>
    <hyperlink r:id="rId298" ref="G304"/>
    <hyperlink r:id="rId299" ref="G305"/>
    <hyperlink r:id="rId300" ref="G306"/>
    <hyperlink r:id="rId301" ref="G307"/>
    <hyperlink r:id="rId302" ref="G308"/>
    <hyperlink r:id="rId303" ref="G309"/>
    <hyperlink r:id="rId304" ref="G310"/>
    <hyperlink r:id="rId305" ref="G311"/>
    <hyperlink r:id="rId306" ref="G312"/>
    <hyperlink r:id="rId307" ref="G313"/>
    <hyperlink r:id="rId308" ref="G314"/>
    <hyperlink r:id="rId309" ref="G315"/>
    <hyperlink r:id="rId310" ref="G316"/>
    <hyperlink r:id="rId311" ref="G317"/>
    <hyperlink r:id="rId312" ref="G318"/>
    <hyperlink r:id="rId313" ref="G319"/>
    <hyperlink r:id="rId314" ref="G320"/>
    <hyperlink r:id="rId315" ref="G321"/>
    <hyperlink r:id="rId316" ref="G322"/>
    <hyperlink r:id="rId317" ref="G323"/>
    <hyperlink r:id="rId318" ref="G324"/>
    <hyperlink r:id="rId319" ref="G325"/>
    <hyperlink r:id="rId320" ref="G326"/>
    <hyperlink r:id="rId321" ref="G327"/>
    <hyperlink r:id="rId322" ref="G328"/>
    <hyperlink r:id="rId323" ref="G329"/>
    <hyperlink r:id="rId324" ref="G330"/>
    <hyperlink r:id="rId325" ref="G331"/>
    <hyperlink r:id="rId326" ref="G332"/>
    <hyperlink r:id="rId327" ref="G333"/>
    <hyperlink r:id="rId328" ref="G334"/>
    <hyperlink r:id="rId329" ref="G335"/>
    <hyperlink r:id="rId330" ref="G336"/>
    <hyperlink r:id="rId331" ref="G337"/>
    <hyperlink r:id="rId332" ref="G338"/>
    <hyperlink r:id="rId333" ref="G339"/>
    <hyperlink r:id="rId334" ref="G340"/>
    <hyperlink r:id="rId335" ref="G341"/>
    <hyperlink r:id="rId336" ref="G342"/>
    <hyperlink r:id="rId337" ref="G343"/>
    <hyperlink r:id="rId338" ref="G344"/>
    <hyperlink r:id="rId339" ref="G345"/>
    <hyperlink r:id="rId340" ref="G346"/>
    <hyperlink r:id="rId341" ref="G347"/>
    <hyperlink r:id="rId342" ref="G348"/>
    <hyperlink r:id="rId343" ref="G349"/>
    <hyperlink r:id="rId344" ref="G350"/>
    <hyperlink r:id="rId345" ref="G351"/>
    <hyperlink r:id="rId346" ref="G352"/>
    <hyperlink r:id="rId347" ref="G353"/>
    <hyperlink r:id="rId348" ref="G354"/>
    <hyperlink r:id="rId349" ref="G355"/>
    <hyperlink r:id="rId350" ref="G356"/>
    <hyperlink r:id="rId351" ref="G357"/>
    <hyperlink r:id="rId352" ref="G358"/>
    <hyperlink r:id="rId353" ref="G359"/>
    <hyperlink r:id="rId354" ref="G360"/>
    <hyperlink r:id="rId355" ref="G361"/>
    <hyperlink r:id="rId356" ref="G362"/>
    <hyperlink r:id="rId357" ref="G363"/>
    <hyperlink r:id="rId358" ref="G364"/>
    <hyperlink r:id="rId359" ref="G365"/>
    <hyperlink r:id="rId360" ref="G366"/>
    <hyperlink r:id="rId361" ref="G367"/>
    <hyperlink r:id="rId362" ref="G372"/>
    <hyperlink r:id="rId363" ref="G373"/>
    <hyperlink r:id="rId364" ref="G374"/>
    <hyperlink r:id="rId365" ref="G376"/>
    <hyperlink r:id="rId366" ref="G377"/>
    <hyperlink r:id="rId367" ref="G378"/>
    <hyperlink r:id="rId368" ref="G379"/>
    <hyperlink r:id="rId369" ref="G380"/>
    <hyperlink r:id="rId370" ref="G381"/>
    <hyperlink r:id="rId371" ref="G382"/>
    <hyperlink r:id="rId372" ref="G383"/>
    <hyperlink r:id="rId373" ref="G384"/>
    <hyperlink r:id="rId374" ref="G385"/>
    <hyperlink r:id="rId375" ref="G386"/>
    <hyperlink r:id="rId376" ref="G387"/>
    <hyperlink r:id="rId377" ref="G388"/>
    <hyperlink r:id="rId378" ref="G389"/>
    <hyperlink r:id="rId379" ref="G390"/>
    <hyperlink r:id="rId380" ref="G391"/>
    <hyperlink r:id="rId381" ref="G392"/>
    <hyperlink r:id="rId382" ref="G394"/>
    <hyperlink r:id="rId383" ref="G395"/>
    <hyperlink r:id="rId384" ref="G396"/>
    <hyperlink r:id="rId385" ref="G397"/>
    <hyperlink r:id="rId386" ref="G398"/>
    <hyperlink r:id="rId387" ref="G399"/>
    <hyperlink r:id="rId388" ref="G400"/>
    <hyperlink r:id="rId389" ref="G401"/>
    <hyperlink r:id="rId390" ref="G402"/>
    <hyperlink r:id="rId391" ref="G403"/>
    <hyperlink r:id="rId392" ref="G404"/>
    <hyperlink r:id="rId393" ref="G405"/>
    <hyperlink r:id="rId394" ref="G406"/>
    <hyperlink r:id="rId395" ref="G407"/>
    <hyperlink r:id="rId396" ref="G408"/>
    <hyperlink r:id="rId397" ref="G409"/>
    <hyperlink r:id="rId398" ref="G410"/>
    <hyperlink r:id="rId399" ref="G411"/>
    <hyperlink r:id="rId400" ref="G412"/>
    <hyperlink r:id="rId401" ref="G413"/>
    <hyperlink r:id="rId402" ref="G414"/>
    <hyperlink r:id="rId403" ref="G415"/>
    <hyperlink r:id="rId404" ref="G416"/>
    <hyperlink r:id="rId405" ref="G417"/>
    <hyperlink r:id="rId406" ref="G418"/>
    <hyperlink r:id="rId407" ref="G419"/>
    <hyperlink r:id="rId408" ref="G420"/>
    <hyperlink r:id="rId409" ref="G421"/>
    <hyperlink r:id="rId410" ref="G422"/>
    <hyperlink r:id="rId411" ref="G423"/>
    <hyperlink r:id="rId412" ref="G424"/>
    <hyperlink r:id="rId413" ref="G425"/>
    <hyperlink r:id="rId414" ref="G426"/>
    <hyperlink r:id="rId415" ref="G427"/>
    <hyperlink r:id="rId416" ref="G428"/>
    <hyperlink r:id="rId417" ref="G429"/>
    <hyperlink r:id="rId418" ref="G430"/>
    <hyperlink r:id="rId419" ref="G431"/>
    <hyperlink r:id="rId420" ref="G432"/>
    <hyperlink r:id="rId421" ref="G433"/>
    <hyperlink r:id="rId422" ref="G434"/>
    <hyperlink r:id="rId423" ref="G435"/>
    <hyperlink r:id="rId424" ref="G436"/>
    <hyperlink r:id="rId425" ref="G437"/>
    <hyperlink r:id="rId426" ref="G438"/>
    <hyperlink r:id="rId427" ref="G439"/>
    <hyperlink r:id="rId428" ref="G440"/>
    <hyperlink r:id="rId429" ref="G441"/>
    <hyperlink r:id="rId430" ref="G442"/>
    <hyperlink r:id="rId431" ref="G443"/>
    <hyperlink r:id="rId432" ref="G444"/>
    <hyperlink r:id="rId433" ref="G445"/>
    <hyperlink r:id="rId434" ref="G446"/>
    <hyperlink r:id="rId435" ref="G447"/>
    <hyperlink r:id="rId436" ref="G448"/>
    <hyperlink r:id="rId437" ref="G449"/>
    <hyperlink r:id="rId438" ref="G450"/>
    <hyperlink r:id="rId439" ref="G451"/>
    <hyperlink r:id="rId440" ref="G452"/>
    <hyperlink r:id="rId441" ref="G453"/>
    <hyperlink r:id="rId442" ref="G454"/>
    <hyperlink r:id="rId443" ref="G455"/>
    <hyperlink r:id="rId444" ref="G456"/>
    <hyperlink r:id="rId445" ref="G457"/>
    <hyperlink r:id="rId446" ref="G458"/>
    <hyperlink r:id="rId447" ref="G459"/>
    <hyperlink r:id="rId448" ref="G460"/>
    <hyperlink r:id="rId449" ref="G461"/>
    <hyperlink r:id="rId450" ref="G462"/>
    <hyperlink r:id="rId451" ref="G463"/>
    <hyperlink r:id="rId452" ref="G464"/>
    <hyperlink r:id="rId453" ref="G465"/>
    <hyperlink r:id="rId454" ref="G466"/>
    <hyperlink r:id="rId455" ref="G467"/>
    <hyperlink r:id="rId456" ref="G468"/>
    <hyperlink r:id="rId457" ref="G469"/>
    <hyperlink r:id="rId458" ref="G470"/>
    <hyperlink r:id="rId459" ref="G471"/>
    <hyperlink r:id="rId460" ref="G472"/>
    <hyperlink r:id="rId461" ref="G473"/>
    <hyperlink r:id="rId462" ref="G474"/>
    <hyperlink r:id="rId463" ref="G475"/>
    <hyperlink r:id="rId464" ref="G476"/>
    <hyperlink r:id="rId465" ref="G477"/>
    <hyperlink r:id="rId466" ref="G478"/>
    <hyperlink r:id="rId467" ref="G479"/>
    <hyperlink r:id="rId468" ref="G480"/>
    <hyperlink r:id="rId469" ref="G481"/>
    <hyperlink r:id="rId470" ref="G482"/>
    <hyperlink r:id="rId471" ref="G483"/>
    <hyperlink r:id="rId472" ref="G484"/>
    <hyperlink r:id="rId473" ref="G485"/>
    <hyperlink r:id="rId474" ref="G486"/>
    <hyperlink r:id="rId475" ref="G487"/>
    <hyperlink r:id="rId476" ref="G488"/>
    <hyperlink r:id="rId477" ref="G489"/>
    <hyperlink r:id="rId478" ref="G490"/>
    <hyperlink r:id="rId479" ref="G491"/>
    <hyperlink r:id="rId480" ref="G492"/>
    <hyperlink r:id="rId481" ref="G493"/>
    <hyperlink r:id="rId482" ref="G494"/>
    <hyperlink r:id="rId483" ref="G495"/>
    <hyperlink r:id="rId484" ref="G496"/>
    <hyperlink r:id="rId485" ref="G497"/>
    <hyperlink r:id="rId486" ref="G498"/>
    <hyperlink r:id="rId487" ref="G499"/>
    <hyperlink r:id="rId488" ref="G500"/>
    <hyperlink r:id="rId489" ref="G501"/>
    <hyperlink r:id="rId490" ref="G502"/>
    <hyperlink r:id="rId491" ref="G503"/>
    <hyperlink r:id="rId492" ref="G504"/>
    <hyperlink r:id="rId493" ref="G505"/>
    <hyperlink r:id="rId494" ref="G506"/>
    <hyperlink r:id="rId495" ref="G507"/>
    <hyperlink r:id="rId496" ref="G508"/>
    <hyperlink r:id="rId497" ref="G509"/>
    <hyperlink r:id="rId498" ref="G510"/>
    <hyperlink r:id="rId499" ref="G511"/>
    <hyperlink r:id="rId500" ref="G512"/>
    <hyperlink r:id="rId501" ref="G513"/>
    <hyperlink r:id="rId502" ref="G514"/>
    <hyperlink r:id="rId503" ref="G515"/>
    <hyperlink r:id="rId504" ref="G516"/>
    <hyperlink r:id="rId505" ref="G517"/>
    <hyperlink r:id="rId506" ref="G518"/>
    <hyperlink r:id="rId507" ref="G519"/>
    <hyperlink r:id="rId508" ref="G520"/>
    <hyperlink r:id="rId509" ref="G521"/>
    <hyperlink r:id="rId510" ref="G522"/>
    <hyperlink r:id="rId511" ref="G523"/>
    <hyperlink r:id="rId512" ref="G524"/>
    <hyperlink r:id="rId513" ref="G525"/>
    <hyperlink r:id="rId514" ref="G526"/>
    <hyperlink r:id="rId515" ref="G527"/>
    <hyperlink r:id="rId516" ref="G528"/>
    <hyperlink r:id="rId517" ref="G529"/>
    <hyperlink r:id="rId518" ref="G530"/>
    <hyperlink r:id="rId519" ref="G531"/>
    <hyperlink r:id="rId520" ref="G532"/>
    <hyperlink r:id="rId521" ref="G533"/>
    <hyperlink r:id="rId522" ref="G534"/>
    <hyperlink r:id="rId523" ref="G535"/>
    <hyperlink r:id="rId524" ref="G536"/>
    <hyperlink r:id="rId525" ref="G537"/>
    <hyperlink r:id="rId526" ref="G538"/>
    <hyperlink r:id="rId527" ref="G539"/>
    <hyperlink r:id="rId528" ref="G540"/>
    <hyperlink r:id="rId529" ref="G541"/>
    <hyperlink r:id="rId530" ref="G542"/>
    <hyperlink r:id="rId531" ref="G543"/>
    <hyperlink r:id="rId532" ref="G544"/>
    <hyperlink r:id="rId533" ref="G545"/>
    <hyperlink r:id="rId534" ref="G546"/>
    <hyperlink r:id="rId535" ref="G547"/>
    <hyperlink r:id="rId536" ref="G548"/>
    <hyperlink r:id="rId537" ref="G549"/>
    <hyperlink r:id="rId538" ref="G550"/>
    <hyperlink r:id="rId539" ref="G551"/>
    <hyperlink r:id="rId540" ref="G552"/>
    <hyperlink r:id="rId541" ref="G553"/>
    <hyperlink r:id="rId542" ref="G554"/>
    <hyperlink r:id="rId543" ref="G555"/>
    <hyperlink r:id="rId544" ref="G556"/>
    <hyperlink r:id="rId545" ref="G557"/>
    <hyperlink r:id="rId546" ref="G558"/>
    <hyperlink r:id="rId547" ref="G559"/>
    <hyperlink r:id="rId548" ref="G560"/>
    <hyperlink r:id="rId549" ref="G561"/>
    <hyperlink r:id="rId550" ref="G562"/>
    <hyperlink r:id="rId551" ref="G563"/>
    <hyperlink r:id="rId552" ref="G564"/>
    <hyperlink r:id="rId553" ref="G565"/>
    <hyperlink r:id="rId554" ref="G566"/>
    <hyperlink r:id="rId555" location="F" ref="G567"/>
    <hyperlink r:id="rId556" location="F" ref="G568"/>
    <hyperlink r:id="rId557" location="F" ref="G569"/>
    <hyperlink r:id="rId558" ref="G570"/>
    <hyperlink r:id="rId559" ref="G571"/>
    <hyperlink r:id="rId560" ref="G572"/>
    <hyperlink r:id="rId561" ref="G573"/>
    <hyperlink r:id="rId562" ref="G574"/>
    <hyperlink r:id="rId563" ref="G575"/>
    <hyperlink r:id="rId564" ref="G576"/>
    <hyperlink r:id="rId565" ref="G577"/>
    <hyperlink r:id="rId566" ref="G578"/>
    <hyperlink r:id="rId567" ref="G579"/>
    <hyperlink r:id="rId568" ref="G580"/>
    <hyperlink r:id="rId569" ref="G581"/>
    <hyperlink r:id="rId570" ref="G582"/>
    <hyperlink r:id="rId571" ref="G583"/>
    <hyperlink r:id="rId572" ref="G584"/>
    <hyperlink r:id="rId573" location="F" ref="G586"/>
    <hyperlink r:id="rId574" ref="G587"/>
    <hyperlink r:id="rId575" ref="G588"/>
    <hyperlink r:id="rId576" ref="G589"/>
    <hyperlink r:id="rId577" ref="G590"/>
    <hyperlink r:id="rId578" ref="G591"/>
    <hyperlink r:id="rId579" ref="G592"/>
    <hyperlink r:id="rId580" ref="G593"/>
    <hyperlink r:id="rId581" ref="G594"/>
    <hyperlink r:id="rId582" ref="G595"/>
    <hyperlink r:id="rId583" ref="G596"/>
    <hyperlink r:id="rId584" ref="G597"/>
    <hyperlink r:id="rId585" ref="G598"/>
    <hyperlink r:id="rId586" ref="G599"/>
    <hyperlink r:id="rId587" ref="G600"/>
    <hyperlink r:id="rId588" ref="G601"/>
    <hyperlink r:id="rId589" ref="G602"/>
    <hyperlink r:id="rId590" ref="G603"/>
    <hyperlink r:id="rId591" ref="G604"/>
    <hyperlink r:id="rId592" ref="G605"/>
    <hyperlink r:id="rId593" ref="G606"/>
    <hyperlink r:id="rId594" ref="G607"/>
    <hyperlink r:id="rId595" ref="G608"/>
    <hyperlink r:id="rId596" ref="G609"/>
    <hyperlink r:id="rId597" ref="G610"/>
    <hyperlink r:id="rId598" ref="G611"/>
    <hyperlink r:id="rId599" ref="G612"/>
    <hyperlink r:id="rId600" ref="G613"/>
    <hyperlink r:id="rId601" ref="G614"/>
    <hyperlink r:id="rId602" ref="G615"/>
    <hyperlink r:id="rId603" ref="G616"/>
    <hyperlink r:id="rId604" ref="G617"/>
    <hyperlink r:id="rId605" ref="G618"/>
    <hyperlink r:id="rId606" ref="G619"/>
    <hyperlink r:id="rId607" ref="G620"/>
    <hyperlink r:id="rId608" ref="G621"/>
    <hyperlink r:id="rId609" ref="G622"/>
    <hyperlink r:id="rId610" ref="G623"/>
    <hyperlink r:id="rId611" ref="G624"/>
    <hyperlink r:id="rId612" ref="G625"/>
    <hyperlink r:id="rId613" ref="G626"/>
    <hyperlink r:id="rId614" ref="G627"/>
    <hyperlink r:id="rId615" ref="G628"/>
    <hyperlink r:id="rId616" ref="G629"/>
    <hyperlink r:id="rId617" ref="G630"/>
    <hyperlink r:id="rId618" ref="G631"/>
    <hyperlink r:id="rId619" ref="G632"/>
    <hyperlink r:id="rId620" ref="G633"/>
    <hyperlink r:id="rId621" ref="G634"/>
    <hyperlink r:id="rId622" ref="G635"/>
    <hyperlink r:id="rId623" ref="G636"/>
    <hyperlink r:id="rId624" ref="G637"/>
    <hyperlink r:id="rId625" ref="G638"/>
    <hyperlink r:id="rId626" ref="G639"/>
    <hyperlink r:id="rId627" ref="G640"/>
    <hyperlink r:id="rId628" ref="G641"/>
    <hyperlink r:id="rId629" ref="G642"/>
    <hyperlink r:id="rId630" ref="G643"/>
    <hyperlink r:id="rId631" ref="G644"/>
    <hyperlink r:id="rId632" ref="G645"/>
    <hyperlink r:id="rId633" ref="G646"/>
    <hyperlink r:id="rId634" ref="G647"/>
    <hyperlink r:id="rId635" ref="G648"/>
    <hyperlink r:id="rId636" ref="G649"/>
    <hyperlink r:id="rId637" ref="G650"/>
    <hyperlink r:id="rId638" ref="G651"/>
    <hyperlink r:id="rId639" ref="G652"/>
    <hyperlink r:id="rId640" ref="G653"/>
    <hyperlink r:id="rId641" ref="G654"/>
    <hyperlink r:id="rId642" ref="G655"/>
    <hyperlink r:id="rId643" ref="G656"/>
    <hyperlink r:id="rId644" ref="G657"/>
    <hyperlink r:id="rId645" ref="G658"/>
    <hyperlink r:id="rId646" ref="G659"/>
    <hyperlink r:id="rId647" ref="G660"/>
    <hyperlink r:id="rId648" ref="G661"/>
    <hyperlink r:id="rId649" ref="G662"/>
    <hyperlink r:id="rId650" ref="G663"/>
    <hyperlink r:id="rId651" ref="G664"/>
    <hyperlink r:id="rId652" ref="G665"/>
    <hyperlink r:id="rId653" ref="G666"/>
    <hyperlink r:id="rId654" ref="G667"/>
    <hyperlink r:id="rId655" ref="G668"/>
    <hyperlink r:id="rId656" ref="G669"/>
    <hyperlink r:id="rId657" ref="G670"/>
    <hyperlink r:id="rId658" ref="G671"/>
    <hyperlink r:id="rId659" ref="G672"/>
    <hyperlink r:id="rId660" ref="G673"/>
    <hyperlink r:id="rId661" ref="G674"/>
    <hyperlink r:id="rId662" ref="G675"/>
    <hyperlink r:id="rId663" ref="G676"/>
    <hyperlink r:id="rId664" ref="G677"/>
    <hyperlink r:id="rId665" ref="G678"/>
    <hyperlink r:id="rId666" ref="G679"/>
    <hyperlink r:id="rId667" ref="G680"/>
    <hyperlink r:id="rId668" ref="G681"/>
    <hyperlink r:id="rId669" ref="G682"/>
    <hyperlink r:id="rId670" ref="G683"/>
    <hyperlink r:id="rId671" ref="G684"/>
    <hyperlink r:id="rId672" ref="G685"/>
    <hyperlink r:id="rId673" ref="G686"/>
    <hyperlink r:id="rId674" ref="G687"/>
    <hyperlink r:id="rId675" ref="G688"/>
    <hyperlink r:id="rId676" ref="G689"/>
    <hyperlink r:id="rId677" ref="G690"/>
    <hyperlink r:id="rId678" ref="G691"/>
    <hyperlink r:id="rId679" ref="G692"/>
    <hyperlink r:id="rId680" ref="G693"/>
    <hyperlink r:id="rId681" ref="G694"/>
    <hyperlink r:id="rId682" ref="G695"/>
    <hyperlink r:id="rId683" ref="G696"/>
    <hyperlink r:id="rId684" ref="G697"/>
    <hyperlink r:id="rId685" ref="G698"/>
    <hyperlink r:id="rId686" ref="G699"/>
    <hyperlink r:id="rId687" ref="G700"/>
    <hyperlink r:id="rId688" ref="G701"/>
    <hyperlink r:id="rId689" ref="G702"/>
    <hyperlink r:id="rId690" ref="G703"/>
    <hyperlink r:id="rId691" ref="G704"/>
    <hyperlink r:id="rId692" ref="G705"/>
    <hyperlink r:id="rId693" ref="G706"/>
    <hyperlink r:id="rId694" ref="G707"/>
    <hyperlink r:id="rId695" ref="G708"/>
    <hyperlink r:id="rId696" ref="G709"/>
    <hyperlink r:id="rId697" ref="G710"/>
    <hyperlink r:id="rId698" ref="G711"/>
    <hyperlink r:id="rId699" ref="G712"/>
    <hyperlink r:id="rId700" ref="G713"/>
    <hyperlink r:id="rId701" ref="G714"/>
    <hyperlink r:id="rId702" ref="G715"/>
    <hyperlink r:id="rId703" ref="G716"/>
    <hyperlink r:id="rId704" ref="G717"/>
    <hyperlink r:id="rId705" ref="G718"/>
    <hyperlink r:id="rId706" ref="G719"/>
    <hyperlink r:id="rId707" ref="G720"/>
    <hyperlink r:id="rId708" ref="G721"/>
    <hyperlink r:id="rId709" ref="G722"/>
    <hyperlink r:id="rId710" ref="G723"/>
    <hyperlink r:id="rId711" ref="G724"/>
    <hyperlink r:id="rId712" ref="G725"/>
    <hyperlink r:id="rId713" ref="G726"/>
    <hyperlink r:id="rId714" ref="G727"/>
    <hyperlink r:id="rId715" ref="G728"/>
    <hyperlink r:id="rId716" ref="G729"/>
    <hyperlink r:id="rId717" ref="G730"/>
    <hyperlink r:id="rId718" ref="G731"/>
    <hyperlink r:id="rId719" ref="G732"/>
    <hyperlink r:id="rId720" ref="G733"/>
    <hyperlink r:id="rId721" ref="G734"/>
    <hyperlink r:id="rId722" ref="G735"/>
    <hyperlink r:id="rId723" ref="G736"/>
    <hyperlink r:id="rId724" ref="G737"/>
    <hyperlink r:id="rId725" ref="G738"/>
    <hyperlink r:id="rId726" ref="G739"/>
    <hyperlink r:id="rId727" ref="G740"/>
    <hyperlink r:id="rId728" ref="G741"/>
    <hyperlink r:id="rId729" ref="G742"/>
    <hyperlink r:id="rId730" ref="G743"/>
    <hyperlink r:id="rId731" ref="G744"/>
    <hyperlink r:id="rId732" ref="G745"/>
    <hyperlink r:id="rId733" ref="G746"/>
    <hyperlink r:id="rId734" ref="G747"/>
    <hyperlink r:id="rId735" ref="G748"/>
    <hyperlink r:id="rId736" ref="G749"/>
    <hyperlink r:id="rId737" ref="G750"/>
    <hyperlink r:id="rId738" ref="G751"/>
    <hyperlink r:id="rId739" ref="G752"/>
    <hyperlink r:id="rId740" ref="G753"/>
    <hyperlink r:id="rId741" ref="G754"/>
    <hyperlink r:id="rId742" ref="G755"/>
    <hyperlink r:id="rId743" ref="G756"/>
    <hyperlink r:id="rId744" ref="G757"/>
    <hyperlink r:id="rId745" ref="G758"/>
    <hyperlink r:id="rId746" ref="G759"/>
    <hyperlink r:id="rId747" ref="G760"/>
    <hyperlink r:id="rId748" ref="G761"/>
    <hyperlink r:id="rId749" ref="G762"/>
    <hyperlink r:id="rId750" ref="G763"/>
    <hyperlink r:id="rId751" ref="G764"/>
    <hyperlink r:id="rId752" ref="G765"/>
    <hyperlink r:id="rId753" ref="G766"/>
    <hyperlink r:id="rId754" ref="G767"/>
    <hyperlink r:id="rId755" ref="G768"/>
    <hyperlink r:id="rId756" ref="G769"/>
    <hyperlink r:id="rId757" ref="G770"/>
    <hyperlink r:id="rId758" ref="G771"/>
    <hyperlink r:id="rId759" ref="G772"/>
    <hyperlink r:id="rId760" ref="G773"/>
    <hyperlink r:id="rId761" ref="G774"/>
    <hyperlink r:id="rId762" ref="G775"/>
    <hyperlink r:id="rId763" ref="G776"/>
    <hyperlink r:id="rId764" ref="G777"/>
    <hyperlink r:id="rId765" ref="G778"/>
    <hyperlink r:id="rId766" ref="G779"/>
    <hyperlink r:id="rId767" ref="G780"/>
    <hyperlink r:id="rId768" ref="G781"/>
    <hyperlink r:id="rId769" ref="G782"/>
    <hyperlink r:id="rId770" ref="G783"/>
    <hyperlink r:id="rId771" ref="G784"/>
    <hyperlink r:id="rId772" ref="G785"/>
    <hyperlink r:id="rId773" ref="G786"/>
    <hyperlink r:id="rId774" ref="G787"/>
    <hyperlink r:id="rId775" ref="G788"/>
    <hyperlink r:id="rId776" ref="G789"/>
    <hyperlink r:id="rId777" ref="G790"/>
    <hyperlink r:id="rId778" ref="G791"/>
    <hyperlink r:id="rId779" ref="G792"/>
    <hyperlink r:id="rId780" ref="G793"/>
    <hyperlink r:id="rId781" ref="G794"/>
    <hyperlink r:id="rId782" ref="G795"/>
    <hyperlink r:id="rId783" ref="G796"/>
    <hyperlink r:id="rId784" ref="G797"/>
    <hyperlink r:id="rId785" ref="G798"/>
    <hyperlink r:id="rId786" ref="G799"/>
    <hyperlink r:id="rId787" ref="G800"/>
    <hyperlink r:id="rId788" ref="G801"/>
    <hyperlink r:id="rId789" ref="G802"/>
    <hyperlink r:id="rId790" ref="G803"/>
    <hyperlink r:id="rId791" ref="G804"/>
    <hyperlink r:id="rId792" ref="G805"/>
    <hyperlink r:id="rId793" ref="G806"/>
    <hyperlink r:id="rId794" ref="G807"/>
    <hyperlink r:id="rId795" ref="G808"/>
    <hyperlink r:id="rId796" ref="G809"/>
    <hyperlink r:id="rId797" ref="G810"/>
    <hyperlink r:id="rId798" ref="G811"/>
    <hyperlink r:id="rId799" ref="G812"/>
    <hyperlink r:id="rId800" ref="G813"/>
    <hyperlink r:id="rId801" ref="G814"/>
    <hyperlink r:id="rId802" ref="G815"/>
    <hyperlink r:id="rId803" ref="G816"/>
    <hyperlink r:id="rId804" ref="G817"/>
    <hyperlink r:id="rId805" ref="G818"/>
    <hyperlink r:id="rId806" ref="G819"/>
    <hyperlink r:id="rId807" ref="G820"/>
    <hyperlink r:id="rId808" ref="G821"/>
    <hyperlink r:id="rId809" ref="G822"/>
    <hyperlink r:id="rId810" ref="G823"/>
    <hyperlink r:id="rId811" ref="G824"/>
    <hyperlink r:id="rId812" ref="G825"/>
    <hyperlink r:id="rId813" ref="G826"/>
    <hyperlink r:id="rId814" ref="G827"/>
    <hyperlink r:id="rId815" ref="G828"/>
    <hyperlink r:id="rId816" ref="G829"/>
    <hyperlink r:id="rId817" ref="G830"/>
    <hyperlink r:id="rId818" ref="G831"/>
    <hyperlink r:id="rId819" ref="G832"/>
    <hyperlink r:id="rId820" ref="G833"/>
    <hyperlink r:id="rId821" ref="G834"/>
    <hyperlink r:id="rId822" ref="G835"/>
    <hyperlink r:id="rId823" ref="G836"/>
    <hyperlink r:id="rId824" ref="G837"/>
    <hyperlink r:id="rId825" ref="G838"/>
    <hyperlink r:id="rId826" ref="G839"/>
    <hyperlink r:id="rId827" ref="G840"/>
    <hyperlink r:id="rId828" ref="G841"/>
    <hyperlink r:id="rId829" ref="G842"/>
    <hyperlink r:id="rId830" ref="G843"/>
    <hyperlink r:id="rId831" ref="G844"/>
    <hyperlink r:id="rId832" ref="G845"/>
    <hyperlink r:id="rId833" ref="G846"/>
    <hyperlink r:id="rId834" ref="G847"/>
    <hyperlink r:id="rId835" ref="G848"/>
    <hyperlink r:id="rId836" ref="G849"/>
    <hyperlink r:id="rId837" ref="G850"/>
    <hyperlink r:id="rId838" ref="G851"/>
    <hyperlink r:id="rId839" ref="G852"/>
    <hyperlink r:id="rId840" ref="G853"/>
    <hyperlink r:id="rId841" ref="G854"/>
    <hyperlink r:id="rId842" ref="G855"/>
    <hyperlink r:id="rId843" ref="G856"/>
    <hyperlink r:id="rId844" ref="G857"/>
    <hyperlink r:id="rId845" ref="G858"/>
    <hyperlink r:id="rId846" ref="G859"/>
    <hyperlink r:id="rId847" ref="G860"/>
    <hyperlink r:id="rId848" ref="G861"/>
    <hyperlink r:id="rId849" ref="G862"/>
    <hyperlink r:id="rId850" ref="G864"/>
    <hyperlink r:id="rId851" ref="G865"/>
    <hyperlink r:id="rId852" ref="G866"/>
    <hyperlink r:id="rId853" ref="G867"/>
    <hyperlink r:id="rId854" ref="G868"/>
    <hyperlink r:id="rId855" ref="G869"/>
    <hyperlink r:id="rId856" ref="G870"/>
    <hyperlink r:id="rId857" ref="G871"/>
    <hyperlink r:id="rId858" ref="G872"/>
    <hyperlink r:id="rId859" ref="G873"/>
    <hyperlink r:id="rId860" ref="G874"/>
    <hyperlink r:id="rId861" ref="G875"/>
    <hyperlink r:id="rId862" ref="G876"/>
    <hyperlink r:id="rId863" ref="G878"/>
    <hyperlink r:id="rId864" ref="G879"/>
    <hyperlink r:id="rId865" ref="G881"/>
    <hyperlink r:id="rId866" ref="G882"/>
    <hyperlink r:id="rId867" ref="G883"/>
    <hyperlink r:id="rId868" ref="G884"/>
    <hyperlink r:id="rId869" ref="G885"/>
    <hyperlink r:id="rId870" ref="G886"/>
    <hyperlink r:id="rId871" ref="G887"/>
    <hyperlink r:id="rId872" location="corona_hasseijyokyo106" ref="G888"/>
    <hyperlink r:id="rId873" location="corona_hasseijyokyo107" ref="G889"/>
    <hyperlink r:id="rId874" location="corona_hasseijyokyo110" ref="G890"/>
    <hyperlink r:id="rId875" location="corona_hasseijyokyo111" ref="G891"/>
    <hyperlink r:id="rId876" location="corona_hasseijyokyo116" ref="G892"/>
    <hyperlink r:id="rId877" ref="G893"/>
    <hyperlink r:id="rId878" ref="G894"/>
    <hyperlink r:id="rId879" ref="G895"/>
    <hyperlink r:id="rId880" ref="G896"/>
    <hyperlink r:id="rId881" ref="G897"/>
    <hyperlink r:id="rId882" ref="G898"/>
    <hyperlink r:id="rId883" ref="G899"/>
    <hyperlink r:id="rId884" ref="G900"/>
    <hyperlink r:id="rId885" ref="G901"/>
    <hyperlink r:id="rId886" ref="G902"/>
    <hyperlink r:id="rId887" ref="G903"/>
    <hyperlink r:id="rId888" ref="G904"/>
    <hyperlink r:id="rId889" ref="G905"/>
    <hyperlink r:id="rId890" ref="G906"/>
    <hyperlink r:id="rId891" ref="G907"/>
    <hyperlink r:id="rId892" ref="G908"/>
    <hyperlink r:id="rId893" ref="G909"/>
    <hyperlink r:id="rId894" ref="G910"/>
    <hyperlink r:id="rId895" ref="G911"/>
    <hyperlink r:id="rId896" ref="G912"/>
    <hyperlink r:id="rId897" ref="G913"/>
    <hyperlink r:id="rId898" ref="G914"/>
    <hyperlink r:id="rId899" ref="G915"/>
    <hyperlink r:id="rId900" ref="G916"/>
    <hyperlink r:id="rId901" ref="G917"/>
    <hyperlink r:id="rId902" ref="G918"/>
    <hyperlink r:id="rId903" ref="G919"/>
    <hyperlink r:id="rId904" ref="G920"/>
    <hyperlink r:id="rId905" ref="G921"/>
    <hyperlink r:id="rId906" ref="G926"/>
    <hyperlink r:id="rId907" ref="G927"/>
    <hyperlink r:id="rId908" ref="G928"/>
    <hyperlink r:id="rId909" ref="G929"/>
    <hyperlink r:id="rId910" ref="G930"/>
    <hyperlink r:id="rId911" ref="G931"/>
    <hyperlink r:id="rId912" ref="G932"/>
    <hyperlink r:id="rId913" ref="G933"/>
    <hyperlink r:id="rId914" ref="G934"/>
    <hyperlink r:id="rId915" ref="G936"/>
    <hyperlink r:id="rId916" ref="G942"/>
    <hyperlink r:id="rId917" ref="G943"/>
    <hyperlink r:id="rId918" ref="G944"/>
    <hyperlink r:id="rId919" ref="G945"/>
    <hyperlink r:id="rId920" ref="G946"/>
    <hyperlink r:id="rId921" ref="G947"/>
    <hyperlink r:id="rId922" ref="G948"/>
    <hyperlink r:id="rId923" ref="G949"/>
    <hyperlink r:id="rId924" ref="G951"/>
    <hyperlink r:id="rId925" ref="G952"/>
    <hyperlink r:id="rId926" ref="G953"/>
    <hyperlink r:id="rId927" ref="G955"/>
    <hyperlink r:id="rId928" ref="G956"/>
    <hyperlink r:id="rId929" ref="G957"/>
    <hyperlink r:id="rId930" ref="G958"/>
    <hyperlink r:id="rId931" location="corona_hasseijyokyo119" ref="G959"/>
    <hyperlink r:id="rId932" ref="G960"/>
    <hyperlink r:id="rId933" ref="G961"/>
    <hyperlink r:id="rId934" ref="G962"/>
    <hyperlink r:id="rId935" ref="G963"/>
    <hyperlink r:id="rId936" ref="G964"/>
    <hyperlink r:id="rId937" ref="G965"/>
    <hyperlink r:id="rId938" ref="G966"/>
    <hyperlink r:id="rId939" ref="G967"/>
    <hyperlink r:id="rId940" ref="G969"/>
    <hyperlink r:id="rId941" ref="G970"/>
    <hyperlink r:id="rId942" ref="G971"/>
    <hyperlink r:id="rId943" ref="G972"/>
    <hyperlink r:id="rId944" ref="G973"/>
    <hyperlink r:id="rId945" ref="G974"/>
    <hyperlink r:id="rId946" ref="G975"/>
    <hyperlink r:id="rId947" ref="G976"/>
    <hyperlink r:id="rId948" ref="G977"/>
    <hyperlink r:id="rId949" ref="G978"/>
    <hyperlink r:id="rId950" ref="G979"/>
    <hyperlink r:id="rId951" location="corona_hasseijyokyo113" ref="G981"/>
    <hyperlink r:id="rId952" ref="G982"/>
    <hyperlink r:id="rId953" ref="G984"/>
    <hyperlink r:id="rId954" ref="G985"/>
    <hyperlink r:id="rId955" ref="G986"/>
    <hyperlink r:id="rId956" location="corona_hasseijyokyo109" ref="G987"/>
    <hyperlink r:id="rId957" location="corona_hasseijyokyo112" ref="G988"/>
    <hyperlink r:id="rId958" ref="G989"/>
    <hyperlink r:id="rId959" ref="G990"/>
    <hyperlink r:id="rId960" ref="G991"/>
    <hyperlink r:id="rId961" ref="G992"/>
    <hyperlink r:id="rId962" ref="G993"/>
    <hyperlink r:id="rId963" ref="G994"/>
    <hyperlink r:id="rId964" location="01;https://www.pref.wakayama.lg.jp/prefg/000200/covid19_d/fil/20200330press.pdf" ref="G995"/>
    <hyperlink r:id="rId965" ref="G996"/>
    <hyperlink r:id="rId966" ref="G997"/>
    <hyperlink r:id="rId967" ref="G998"/>
    <hyperlink r:id="rId968" ref="G999"/>
    <hyperlink r:id="rId969" ref="G1000"/>
    <hyperlink r:id="rId970" ref="G1001"/>
    <hyperlink r:id="rId971" ref="G1002"/>
    <hyperlink r:id="rId972" ref="G1003"/>
    <hyperlink r:id="rId973" ref="G1004"/>
    <hyperlink r:id="rId974" ref="G1005"/>
    <hyperlink r:id="rId975" ref="G1006"/>
    <hyperlink r:id="rId976" ref="G1007"/>
    <hyperlink r:id="rId977" ref="G1008"/>
    <hyperlink r:id="rId978" ref="G1009"/>
    <hyperlink r:id="rId979" ref="G1010"/>
    <hyperlink r:id="rId980" ref="G1011"/>
    <hyperlink r:id="rId981" ref="G1012"/>
    <hyperlink r:id="rId982" ref="G1013"/>
    <hyperlink r:id="rId983" ref="G1014"/>
    <hyperlink r:id="rId984" ref="G1015"/>
    <hyperlink r:id="rId985" ref="G1016"/>
    <hyperlink r:id="rId986" ref="G1017"/>
    <hyperlink r:id="rId987" ref="G1018"/>
    <hyperlink r:id="rId988" ref="G1019"/>
    <hyperlink r:id="rId989" ref="G1020"/>
    <hyperlink r:id="rId990" ref="G1021"/>
    <hyperlink r:id="rId991" ref="G1022"/>
    <hyperlink r:id="rId992" ref="G1023"/>
    <hyperlink r:id="rId993" ref="G1024"/>
    <hyperlink r:id="rId994" ref="G1025"/>
    <hyperlink r:id="rId995" ref="G1026"/>
    <hyperlink r:id="rId996" ref="G1027"/>
    <hyperlink r:id="rId997" ref="G1028"/>
    <hyperlink r:id="rId998" ref="G1029"/>
    <hyperlink r:id="rId999" ref="G1030"/>
    <hyperlink r:id="rId1000" ref="G1031"/>
    <hyperlink r:id="rId1001" ref="G1033"/>
    <hyperlink r:id="rId1002" ref="G1034"/>
    <hyperlink r:id="rId1003" ref="G1035"/>
    <hyperlink r:id="rId1004" ref="G1036"/>
    <hyperlink r:id="rId1005" ref="G1037"/>
    <hyperlink r:id="rId1006" ref="G1038"/>
    <hyperlink r:id="rId1007" ref="G1039"/>
    <hyperlink r:id="rId1008" ref="G1040"/>
    <hyperlink r:id="rId1009" ref="G1041"/>
    <hyperlink r:id="rId1010" ref="G1042"/>
    <hyperlink r:id="rId1011" ref="G1043"/>
    <hyperlink r:id="rId1012" ref="G1044"/>
    <hyperlink r:id="rId1013" ref="G1045"/>
    <hyperlink r:id="rId1014" ref="G1046"/>
    <hyperlink r:id="rId1015" location="A1-2-2" ref="G1047"/>
    <hyperlink r:id="rId1016" ref="G1048"/>
    <hyperlink r:id="rId1017" ref="G1049"/>
    <hyperlink r:id="rId1018" ref="G1050"/>
    <hyperlink r:id="rId1019" ref="G1051"/>
    <hyperlink r:id="rId1020" ref="G1052"/>
    <hyperlink r:id="rId1021" ref="G1053"/>
    <hyperlink r:id="rId1022" ref="G1054"/>
    <hyperlink r:id="rId1023" ref="G1055"/>
    <hyperlink r:id="rId1024" ref="G1057"/>
    <hyperlink r:id="rId1025" ref="G1066"/>
    <hyperlink r:id="rId1026" ref="G1067"/>
    <hyperlink r:id="rId1027" ref="G1068"/>
    <hyperlink r:id="rId1028" ref="G1069"/>
    <hyperlink r:id="rId1029" ref="G1070"/>
    <hyperlink r:id="rId1030" ref="G1071"/>
    <hyperlink r:id="rId1031" ref="G1072"/>
    <hyperlink r:id="rId1032" ref="G1073"/>
    <hyperlink r:id="rId1033" ref="G1074"/>
    <hyperlink r:id="rId1034" ref="G1075"/>
    <hyperlink r:id="rId1035" ref="G1076"/>
    <hyperlink r:id="rId1036" ref="G1077"/>
    <hyperlink r:id="rId1037" ref="G1078"/>
    <hyperlink r:id="rId1038" ref="G1079"/>
    <hyperlink r:id="rId1039" ref="G1080"/>
    <hyperlink r:id="rId1040" ref="G1081"/>
    <hyperlink r:id="rId1041" ref="G1082"/>
    <hyperlink r:id="rId1042" ref="G1083"/>
    <hyperlink r:id="rId1043" ref="G1084"/>
    <hyperlink r:id="rId1044" ref="G1085"/>
    <hyperlink r:id="rId1045" ref="G1086"/>
    <hyperlink r:id="rId1046" ref="G1087"/>
    <hyperlink r:id="rId1047" ref="G1088"/>
    <hyperlink r:id="rId1048" ref="G1089"/>
    <hyperlink r:id="rId1049" ref="G1090"/>
    <hyperlink r:id="rId1050" ref="G1091"/>
    <hyperlink r:id="rId1051" ref="G1092"/>
    <hyperlink r:id="rId1052" ref="G1093"/>
    <hyperlink r:id="rId1053" ref="G1094"/>
    <hyperlink r:id="rId1054" ref="G1095"/>
    <hyperlink r:id="rId1055" ref="G1096"/>
    <hyperlink r:id="rId1056" ref="G1097"/>
    <hyperlink r:id="rId1057" ref="G1098"/>
    <hyperlink r:id="rId1058" ref="G1099"/>
    <hyperlink r:id="rId1059" ref="G1100"/>
    <hyperlink r:id="rId1060" ref="G1101"/>
    <hyperlink r:id="rId1061" ref="G1102"/>
    <hyperlink r:id="rId1062" ref="G1103"/>
    <hyperlink r:id="rId1063" ref="G1104"/>
    <hyperlink r:id="rId1064" ref="G1105"/>
    <hyperlink r:id="rId1065" ref="G1106"/>
    <hyperlink r:id="rId1066" ref="G1107"/>
    <hyperlink r:id="rId1067" ref="G1108"/>
    <hyperlink r:id="rId1068" ref="G1109"/>
    <hyperlink r:id="rId1069" ref="G1110"/>
    <hyperlink r:id="rId1070" ref="G1111"/>
    <hyperlink r:id="rId1071" ref="G1112"/>
    <hyperlink r:id="rId1072" ref="G1113"/>
    <hyperlink r:id="rId1073" ref="G1114"/>
    <hyperlink r:id="rId1074" ref="G1115"/>
    <hyperlink r:id="rId1075" ref="G1116"/>
    <hyperlink r:id="rId1076" ref="G1117"/>
    <hyperlink r:id="rId1077" ref="G1118"/>
    <hyperlink r:id="rId1078" ref="G1119"/>
    <hyperlink r:id="rId1079" ref="G1120"/>
    <hyperlink r:id="rId1080" ref="G1121"/>
    <hyperlink r:id="rId1081" ref="G1122"/>
    <hyperlink r:id="rId1082" ref="G1123"/>
    <hyperlink r:id="rId1083" ref="G1124"/>
    <hyperlink r:id="rId1084" ref="G1125"/>
    <hyperlink r:id="rId1085" ref="G1126"/>
    <hyperlink r:id="rId1086" ref="G1135"/>
    <hyperlink r:id="rId1087" ref="G1136"/>
    <hyperlink r:id="rId1088" ref="G1137"/>
    <hyperlink r:id="rId1089" ref="G1138"/>
    <hyperlink r:id="rId1090" ref="G1139"/>
    <hyperlink r:id="rId1091" ref="G1140"/>
    <hyperlink r:id="rId1092" ref="G1141"/>
    <hyperlink r:id="rId1093" ref="G1142"/>
    <hyperlink r:id="rId1094" location="A1-2-2" ref="G1143"/>
    <hyperlink r:id="rId1095" ref="G1144"/>
    <hyperlink r:id="rId1096" ref="G1145"/>
    <hyperlink r:id="rId1097" ref="G1146"/>
    <hyperlink r:id="rId1098" ref="G1147"/>
    <hyperlink r:id="rId1099" ref="G1148"/>
    <hyperlink r:id="rId1100" ref="G1149"/>
    <hyperlink r:id="rId1101" ref="G1150"/>
    <hyperlink r:id="rId1102" ref="G1151"/>
    <hyperlink r:id="rId1103" ref="G1152"/>
    <hyperlink r:id="rId1104" ref="G1153"/>
    <hyperlink r:id="rId1105" ref="G1154"/>
    <hyperlink r:id="rId1106" ref="G1155"/>
    <hyperlink r:id="rId1107" ref="G1156"/>
    <hyperlink r:id="rId1108" ref="G1157"/>
    <hyperlink r:id="rId1109" ref="G1158"/>
    <hyperlink r:id="rId1110" ref="G1159"/>
    <hyperlink r:id="rId1111" ref="G1160"/>
    <hyperlink r:id="rId1112" ref="G1161"/>
    <hyperlink r:id="rId1113" ref="G1162"/>
    <hyperlink r:id="rId1114" ref="G1163"/>
    <hyperlink r:id="rId1115" ref="G1164"/>
    <hyperlink r:id="rId1116" ref="G1165"/>
    <hyperlink r:id="rId1117" ref="G1166"/>
    <hyperlink r:id="rId1118" ref="G1167"/>
    <hyperlink r:id="rId1119" ref="G1168"/>
    <hyperlink r:id="rId1120" ref="G1169"/>
    <hyperlink r:id="rId1121" ref="G1170"/>
    <hyperlink r:id="rId1122" ref="G1171"/>
    <hyperlink r:id="rId1123" ref="G1172"/>
    <hyperlink r:id="rId1124" ref="G1173"/>
    <hyperlink r:id="rId1125" ref="G1174"/>
    <hyperlink r:id="rId1126" ref="G1175"/>
    <hyperlink r:id="rId1127" ref="G1176"/>
    <hyperlink r:id="rId1128" ref="G1177"/>
    <hyperlink r:id="rId1129" ref="G1178"/>
    <hyperlink r:id="rId1130" ref="G1179"/>
    <hyperlink r:id="rId1131" ref="G1180"/>
    <hyperlink r:id="rId1132" ref="G1181"/>
    <hyperlink r:id="rId1133" ref="G1182"/>
    <hyperlink r:id="rId1134" ref="G1183"/>
    <hyperlink r:id="rId1135" ref="G1184"/>
    <hyperlink r:id="rId1136" ref="G1185"/>
    <hyperlink r:id="rId1137" ref="G1186"/>
    <hyperlink r:id="rId1138" ref="G1187"/>
    <hyperlink r:id="rId1139" ref="G1189"/>
    <hyperlink r:id="rId1140" ref="G1190"/>
    <hyperlink r:id="rId1141" ref="G1191"/>
    <hyperlink r:id="rId1142" ref="G1192"/>
    <hyperlink r:id="rId1143" ref="G1193"/>
    <hyperlink r:id="rId1144" ref="G1194"/>
    <hyperlink r:id="rId1145" ref="G1195"/>
    <hyperlink r:id="rId1146" ref="G1196"/>
    <hyperlink r:id="rId1147" ref="G1197"/>
    <hyperlink r:id="rId1148" ref="G1198"/>
    <hyperlink r:id="rId1149" ref="G1199"/>
    <hyperlink r:id="rId1150" ref="G1200"/>
    <hyperlink r:id="rId1151" ref="G1201"/>
    <hyperlink r:id="rId1152" ref="G1202"/>
    <hyperlink r:id="rId1153" ref="G1203"/>
    <hyperlink r:id="rId1154" ref="G1204"/>
    <hyperlink r:id="rId1155" ref="G1205"/>
    <hyperlink r:id="rId1156" ref="G1206"/>
    <hyperlink r:id="rId1157" ref="G1207"/>
    <hyperlink r:id="rId1158" ref="G1208"/>
    <hyperlink r:id="rId1159" ref="G1209"/>
    <hyperlink r:id="rId1160" ref="G1210"/>
    <hyperlink r:id="rId1161" ref="G1211"/>
    <hyperlink r:id="rId1162" ref="G1212"/>
    <hyperlink r:id="rId1163" ref="G1213"/>
    <hyperlink r:id="rId1164" ref="G1214"/>
    <hyperlink r:id="rId1165" ref="G1215"/>
    <hyperlink r:id="rId1166" ref="G1216"/>
    <hyperlink r:id="rId1167" ref="G1217"/>
    <hyperlink r:id="rId1168" ref="G1218"/>
    <hyperlink r:id="rId1169" ref="G1219"/>
    <hyperlink r:id="rId1170" ref="G1220"/>
    <hyperlink r:id="rId1171" ref="G1221"/>
    <hyperlink r:id="rId1172" ref="G1222"/>
    <hyperlink r:id="rId1173" ref="G1223"/>
    <hyperlink r:id="rId1174" ref="G1224"/>
    <hyperlink r:id="rId1175" ref="G1225"/>
    <hyperlink r:id="rId1176" ref="G1226"/>
    <hyperlink r:id="rId1177" ref="G1227"/>
    <hyperlink r:id="rId1178" ref="G1228"/>
    <hyperlink r:id="rId1179" ref="G1229"/>
    <hyperlink r:id="rId1180" ref="G1230"/>
    <hyperlink r:id="rId1181" ref="G1231"/>
    <hyperlink r:id="rId1182" ref="G1232"/>
    <hyperlink r:id="rId1183" ref="G1233"/>
    <hyperlink r:id="rId1184" ref="G1234"/>
    <hyperlink r:id="rId1185" ref="G1235"/>
    <hyperlink r:id="rId1186" ref="G1236"/>
    <hyperlink r:id="rId1187" ref="G1237"/>
    <hyperlink r:id="rId1188" ref="G1238"/>
    <hyperlink r:id="rId1189" ref="G1239"/>
    <hyperlink r:id="rId1190" ref="G1240"/>
    <hyperlink r:id="rId1191" ref="G1241"/>
    <hyperlink r:id="rId1192" ref="G1242"/>
    <hyperlink r:id="rId1193" ref="G1243"/>
    <hyperlink r:id="rId1194" ref="G1244"/>
    <hyperlink r:id="rId1195" ref="G1245"/>
    <hyperlink r:id="rId1196" ref="G1246"/>
    <hyperlink r:id="rId1197" ref="G1247"/>
    <hyperlink r:id="rId1198" ref="G1248"/>
    <hyperlink r:id="rId1199" ref="G1249"/>
    <hyperlink r:id="rId1200" ref="G1250"/>
    <hyperlink r:id="rId1201" ref="G1251"/>
    <hyperlink r:id="rId1202" ref="G1252"/>
    <hyperlink r:id="rId1203" ref="G1253"/>
    <hyperlink r:id="rId1204" ref="G1254"/>
    <hyperlink r:id="rId1205" ref="G1255"/>
    <hyperlink r:id="rId1206" ref="G1256"/>
    <hyperlink r:id="rId1207" ref="G1257"/>
    <hyperlink r:id="rId1208" ref="G1258"/>
    <hyperlink r:id="rId1209" ref="G1259"/>
    <hyperlink r:id="rId1210" ref="G1260"/>
    <hyperlink r:id="rId1211" ref="G1261"/>
    <hyperlink r:id="rId1212" ref="G1262"/>
    <hyperlink r:id="rId1213" ref="G1263"/>
    <hyperlink r:id="rId1214" ref="G1264"/>
    <hyperlink r:id="rId1215" ref="G1265"/>
    <hyperlink r:id="rId1216" ref="G1266"/>
    <hyperlink r:id="rId1217" ref="G1267"/>
    <hyperlink r:id="rId1218" ref="G1268"/>
    <hyperlink r:id="rId1219" ref="G1269"/>
    <hyperlink r:id="rId1220" ref="G1270"/>
    <hyperlink r:id="rId1221" ref="G1271"/>
    <hyperlink r:id="rId1222" ref="G1272"/>
    <hyperlink r:id="rId1223" ref="G1273"/>
    <hyperlink r:id="rId1224" ref="G1274"/>
    <hyperlink r:id="rId1225" ref="G1275"/>
    <hyperlink r:id="rId1226" ref="G1276"/>
    <hyperlink r:id="rId1227" ref="G1277"/>
    <hyperlink r:id="rId1228" ref="G1278"/>
    <hyperlink r:id="rId1229" ref="G1279"/>
    <hyperlink r:id="rId1230" ref="G1280"/>
    <hyperlink r:id="rId1231" ref="G1281"/>
    <hyperlink r:id="rId1232" ref="G1282"/>
    <hyperlink r:id="rId1233" ref="G1283"/>
    <hyperlink r:id="rId1234" ref="G1284"/>
    <hyperlink r:id="rId1235" ref="G1285"/>
    <hyperlink r:id="rId1236" ref="G1286"/>
    <hyperlink r:id="rId1237" ref="G1287"/>
    <hyperlink r:id="rId1238" ref="G1288"/>
    <hyperlink r:id="rId1239" ref="G1289"/>
    <hyperlink r:id="rId1240" ref="G1290"/>
    <hyperlink r:id="rId1241" ref="G1291"/>
    <hyperlink r:id="rId1242" ref="G1292"/>
    <hyperlink r:id="rId1243" ref="G1293"/>
    <hyperlink r:id="rId1244" ref="G1294"/>
    <hyperlink r:id="rId1245" ref="G1295"/>
    <hyperlink r:id="rId1246" ref="G1296"/>
    <hyperlink r:id="rId1247" ref="G1297"/>
    <hyperlink r:id="rId1248" ref="G1298"/>
    <hyperlink r:id="rId1249" ref="G1299"/>
    <hyperlink r:id="rId1250" ref="G1300"/>
    <hyperlink r:id="rId1251" ref="G1301"/>
    <hyperlink r:id="rId1252" ref="G1302"/>
    <hyperlink r:id="rId1253" ref="G1303"/>
    <hyperlink r:id="rId1254" ref="G1304"/>
    <hyperlink r:id="rId1255" ref="G1305"/>
    <hyperlink r:id="rId1256" ref="G1306"/>
    <hyperlink r:id="rId1257" ref="G1307"/>
    <hyperlink r:id="rId1258" ref="G1308"/>
    <hyperlink r:id="rId1259" ref="G1309"/>
    <hyperlink r:id="rId1260" ref="G1310"/>
    <hyperlink r:id="rId1261" ref="G1311"/>
    <hyperlink r:id="rId1262" ref="G1312"/>
    <hyperlink r:id="rId1263" ref="G1313"/>
    <hyperlink r:id="rId1264" ref="G1314"/>
    <hyperlink r:id="rId1265" ref="G1315"/>
    <hyperlink r:id="rId1266" ref="G1316"/>
    <hyperlink r:id="rId1267" ref="G1317"/>
    <hyperlink r:id="rId1268" ref="G1318"/>
    <hyperlink r:id="rId1269" ref="G1319"/>
    <hyperlink r:id="rId1270" ref="G1320"/>
    <hyperlink r:id="rId1271" ref="G1321"/>
    <hyperlink r:id="rId1272" ref="G1322"/>
    <hyperlink r:id="rId1273" ref="G1323"/>
    <hyperlink r:id="rId1274" ref="G1324"/>
    <hyperlink r:id="rId1275" ref="G1325"/>
    <hyperlink r:id="rId1276" ref="G1326"/>
    <hyperlink r:id="rId1277" ref="G1327"/>
    <hyperlink r:id="rId1278" ref="G1328"/>
    <hyperlink r:id="rId1279" ref="G1329"/>
    <hyperlink r:id="rId1280" ref="G1330"/>
    <hyperlink r:id="rId1281" ref="G1331"/>
    <hyperlink r:id="rId1282" ref="G1332"/>
    <hyperlink r:id="rId1283" ref="G1333"/>
    <hyperlink r:id="rId1284" ref="G1334"/>
    <hyperlink r:id="rId1285" ref="G1335"/>
    <hyperlink r:id="rId1286" ref="G1336"/>
    <hyperlink r:id="rId1287" ref="G1337"/>
    <hyperlink r:id="rId1288" ref="G1338"/>
    <hyperlink r:id="rId1289" ref="G1339"/>
    <hyperlink r:id="rId1290" ref="G1340"/>
    <hyperlink r:id="rId1291" ref="G1342"/>
    <hyperlink r:id="rId1292" ref="G1343"/>
    <hyperlink r:id="rId1293" ref="G1345"/>
    <hyperlink r:id="rId1294" ref="G1346"/>
    <hyperlink r:id="rId1295" ref="G1347"/>
    <hyperlink r:id="rId1296" ref="G1348"/>
    <hyperlink r:id="rId1297" ref="G1349"/>
    <hyperlink r:id="rId1298" ref="G1350"/>
    <hyperlink r:id="rId1299" ref="G1351"/>
    <hyperlink r:id="rId1300" ref="G1352"/>
    <hyperlink r:id="rId1301" ref="G1353"/>
    <hyperlink r:id="rId1302" ref="G1354"/>
    <hyperlink r:id="rId1303" ref="G1355"/>
    <hyperlink r:id="rId1304" ref="G1356"/>
    <hyperlink r:id="rId1305" ref="G1357"/>
    <hyperlink r:id="rId1306" ref="G1358"/>
    <hyperlink r:id="rId1307" ref="G1359"/>
    <hyperlink r:id="rId1308" ref="G1360"/>
    <hyperlink r:id="rId1309" ref="G1361"/>
    <hyperlink r:id="rId1310" ref="G1362"/>
    <hyperlink r:id="rId1311" ref="G1363"/>
    <hyperlink r:id="rId1312" ref="G1364"/>
    <hyperlink r:id="rId1313" ref="G1365"/>
    <hyperlink r:id="rId1314" ref="G1366"/>
    <hyperlink r:id="rId1315" ref="G1367"/>
    <hyperlink r:id="rId1316" ref="G1368"/>
  </hyperlinks>
  <drawing r:id="rId1317"/>
  <legacyDrawing r:id="rId1318"/>
  <tableParts count="1">
    <tablePart r:id="rId1320"/>
  </tableParts>
</worksheet>
</file>